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120" activeTab="0"/>
  </bookViews>
  <sheets>
    <sheet name="P &amp; L" sheetId="1" r:id="rId1"/>
    <sheet name="Premium" sheetId="2" r:id="rId2"/>
    <sheet name="Claims Triangles" sheetId="3" r:id="rId3"/>
    <sheet name="Logistična funkcija" sheetId="4" r:id="rId4"/>
    <sheet name="Exponential function" sheetId="5" r:id="rId5"/>
  </sheets>
  <definedNames/>
  <calcPr fullCalcOnLoad="1"/>
</workbook>
</file>

<file path=xl/sharedStrings.xml><?xml version="1.0" encoding="utf-8"?>
<sst xmlns="http://schemas.openxmlformats.org/spreadsheetml/2006/main" count="112" uniqueCount="82">
  <si>
    <t>Assumptions:</t>
  </si>
  <si>
    <t>Growth of portfolio:</t>
  </si>
  <si>
    <t>Inflation:</t>
  </si>
  <si>
    <t>One LoB:</t>
  </si>
  <si>
    <t>MTPL (AO)</t>
  </si>
  <si>
    <t>A</t>
  </si>
  <si>
    <t>Log factor</t>
  </si>
  <si>
    <t>Exp factor</t>
  </si>
  <si>
    <t>Exp factor1:</t>
  </si>
  <si>
    <t>Exp factor2:</t>
  </si>
  <si>
    <t>Claim development</t>
  </si>
  <si>
    <t>Year 1</t>
  </si>
  <si>
    <t>Year 2</t>
  </si>
  <si>
    <t>Year 3</t>
  </si>
  <si>
    <t>Year 4</t>
  </si>
  <si>
    <t>Year 5</t>
  </si>
  <si>
    <t>Year 6</t>
  </si>
  <si>
    <t>AccYear 1</t>
  </si>
  <si>
    <t>AccYear 2</t>
  </si>
  <si>
    <t>AccYear 3</t>
  </si>
  <si>
    <t>AccYear 4</t>
  </si>
  <si>
    <t>AccYear 5</t>
  </si>
  <si>
    <t>AccYear 6</t>
  </si>
  <si>
    <t>Development Year</t>
  </si>
  <si>
    <t>Month</t>
  </si>
  <si>
    <t>1st year premium:</t>
  </si>
  <si>
    <t>im</t>
  </si>
  <si>
    <t>jm</t>
  </si>
  <si>
    <t>km</t>
  </si>
  <si>
    <t>Monthly premium</t>
  </si>
  <si>
    <t>6m</t>
  </si>
  <si>
    <t>1m</t>
  </si>
  <si>
    <t>3m</t>
  </si>
  <si>
    <t>PP</t>
  </si>
  <si>
    <t>Change UPR</t>
  </si>
  <si>
    <t>(1)</t>
  </si>
  <si>
    <t>(2)</t>
  </si>
  <si>
    <t>(3)=(1)-(2)</t>
  </si>
  <si>
    <t>Earned premium</t>
  </si>
  <si>
    <t>Paid Claims</t>
  </si>
  <si>
    <t>EP</t>
  </si>
  <si>
    <t>ULR</t>
  </si>
  <si>
    <t>Ultimate Losses</t>
  </si>
  <si>
    <t>(4)</t>
  </si>
  <si>
    <t>(5)</t>
  </si>
  <si>
    <t>Written premium</t>
  </si>
  <si>
    <t>CR</t>
  </si>
  <si>
    <t>Change CR (not indexed)</t>
  </si>
  <si>
    <t>Incurred Claims (not indexed)</t>
  </si>
  <si>
    <t>(6)=(4)+(5)</t>
  </si>
  <si>
    <t>(4)/(1)</t>
  </si>
  <si>
    <t>Loss ratio 1</t>
  </si>
  <si>
    <t>Loss ratio 2</t>
  </si>
  <si>
    <t>(6)/(3)</t>
  </si>
  <si>
    <t>Not indexed claims</t>
  </si>
  <si>
    <t>Indexed claims</t>
  </si>
  <si>
    <t>(7)</t>
  </si>
  <si>
    <t>(8)</t>
  </si>
  <si>
    <t>Costs</t>
  </si>
  <si>
    <t>Acquisition</t>
  </si>
  <si>
    <t>Claims Settlement</t>
  </si>
  <si>
    <t>Overheads</t>
  </si>
  <si>
    <t>Total</t>
  </si>
  <si>
    <t>Change CHC reserves</t>
  </si>
  <si>
    <t>P&amp;L</t>
  </si>
  <si>
    <t>Combined ratio 1</t>
  </si>
  <si>
    <t>Combined ratio 2</t>
  </si>
  <si>
    <t>(9)</t>
  </si>
  <si>
    <t>(10)</t>
  </si>
  <si>
    <t>(11)=(9)+(10)</t>
  </si>
  <si>
    <t>(9)/(1)</t>
  </si>
  <si>
    <t>(11)/(3)</t>
  </si>
  <si>
    <t>Change CR</t>
  </si>
  <si>
    <t>Incurred Claims</t>
  </si>
  <si>
    <t>UL/1st year</t>
  </si>
  <si>
    <t>BoP</t>
  </si>
  <si>
    <t>EoP</t>
  </si>
  <si>
    <t>Avg # years:</t>
  </si>
  <si>
    <t>Ultimate Loss Ratio</t>
  </si>
  <si>
    <t>Ultimate Loss ratio</t>
  </si>
  <si>
    <t>Parametri modela</t>
  </si>
  <si>
    <t>XY, Insurance company a.d.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</si>
</sst>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</numFmts>
  <fonts count="26">
    <font>
      <sz val="10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7" fillId="0" borderId="6" applyNumberFormat="0" applyFill="0" applyAlignment="0" applyProtection="0"/>
    <xf numFmtId="0" fontId="18" fillId="23" borderId="7" applyNumberFormat="0" applyAlignment="0" applyProtection="0"/>
    <xf numFmtId="0" fontId="16" fillId="16" borderId="8" applyNumberFormat="0" applyAlignment="0" applyProtection="0"/>
    <xf numFmtId="0" fontId="12" fillId="3" borderId="0" applyNumberFormat="0" applyBorder="0" applyAlignment="0" applyProtection="0"/>
    <xf numFmtId="0" fontId="14" fillId="7" borderId="8" applyNumberFormat="0" applyAlignment="0" applyProtection="0"/>
    <xf numFmtId="0" fontId="2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47" applyFont="1" applyAlignment="1">
      <alignment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4" fillId="24" borderId="0" xfId="0" applyFont="1" applyFill="1" applyAlignment="1">
      <alignment/>
    </xf>
    <xf numFmtId="3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quotePrefix="1">
      <alignment horizontal="center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 wrapText="1"/>
    </xf>
    <xf numFmtId="9" fontId="0" fillId="0" borderId="0" xfId="47" applyFont="1" applyBorder="1" applyAlignment="1">
      <alignment/>
    </xf>
    <xf numFmtId="3" fontId="3" fillId="0" borderId="0" xfId="0" applyNumberFormat="1" applyFont="1" applyAlignment="1">
      <alignment/>
    </xf>
    <xf numFmtId="0" fontId="0" fillId="17" borderId="0" xfId="0" applyFill="1" applyAlignment="1">
      <alignment horizontal="right"/>
    </xf>
    <xf numFmtId="0" fontId="0" fillId="17" borderId="0" xfId="0" applyFill="1" applyBorder="1" applyAlignment="1">
      <alignment horizontal="center"/>
    </xf>
    <xf numFmtId="0" fontId="0" fillId="17" borderId="0" xfId="0" applyFill="1" applyAlignment="1">
      <alignment/>
    </xf>
    <xf numFmtId="9" fontId="0" fillId="17" borderId="0" xfId="47" applyFont="1" applyFill="1" applyAlignment="1">
      <alignment/>
    </xf>
    <xf numFmtId="0" fontId="0" fillId="17" borderId="0" xfId="0" applyFill="1" applyAlignment="1">
      <alignment horizontal="center"/>
    </xf>
    <xf numFmtId="0" fontId="0" fillId="15" borderId="0" xfId="0" applyFill="1" applyAlignment="1">
      <alignment horizontal="right"/>
    </xf>
    <xf numFmtId="0" fontId="0" fillId="15" borderId="0" xfId="0" applyFill="1" applyAlignment="1">
      <alignment horizontal="center"/>
    </xf>
    <xf numFmtId="0" fontId="0" fillId="15" borderId="0" xfId="0" applyFill="1" applyAlignment="1">
      <alignment/>
    </xf>
    <xf numFmtId="9" fontId="0" fillId="15" borderId="0" xfId="47" applyFont="1" applyFill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9" fontId="3" fillId="0" borderId="14" xfId="47" applyFont="1" applyBorder="1" applyAlignment="1">
      <alignment/>
    </xf>
    <xf numFmtId="9" fontId="0" fillId="24" borderId="0" xfId="47" applyFont="1" applyFill="1" applyAlignment="1">
      <alignment/>
    </xf>
    <xf numFmtId="0" fontId="0" fillId="24" borderId="12" xfId="0" applyFill="1" applyBorder="1" applyAlignment="1">
      <alignment/>
    </xf>
    <xf numFmtId="9" fontId="0" fillId="24" borderId="14" xfId="0" applyNumberFormat="1" applyFill="1" applyBorder="1" applyAlignment="1">
      <alignment/>
    </xf>
    <xf numFmtId="0" fontId="0" fillId="24" borderId="16" xfId="0" applyFill="1" applyBorder="1" applyAlignment="1">
      <alignment/>
    </xf>
    <xf numFmtId="9" fontId="0" fillId="24" borderId="12" xfId="47" applyFont="1" applyFill="1" applyBorder="1" applyAlignment="1">
      <alignment/>
    </xf>
    <xf numFmtId="177" fontId="0" fillId="24" borderId="16" xfId="47" applyNumberFormat="1" applyFont="1" applyFill="1" applyBorder="1" applyAlignment="1">
      <alignment/>
    </xf>
    <xf numFmtId="9" fontId="0" fillId="24" borderId="16" xfId="47" applyFont="1" applyFill="1" applyBorder="1" applyAlignment="1">
      <alignment/>
    </xf>
    <xf numFmtId="0" fontId="0" fillId="24" borderId="0" xfId="0" applyFill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25"/>
          <c:w val="0.8075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'Claims Triangles'!$A$5</c:f>
              <c:strCache>
                <c:ptCount val="1"/>
                <c:pt idx="0">
                  <c:v>AccYear 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'Claims Triangles'!$B$4:$U$4</c:f>
              <c:numCache/>
            </c:numRef>
          </c:cat>
          <c:val>
            <c:numRef>
              <c:f>'Claims Triangles'!$B$5:$U$5</c:f>
              <c:numCache>
                <c:ptCount val="20"/>
                <c:pt idx="0">
                  <c:v>0.865</c:v>
                </c:pt>
                <c:pt idx="1">
                  <c:v>0.982</c:v>
                </c:pt>
                <c:pt idx="2">
                  <c:v>0.998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'Claims Triangles'!$A$6</c:f>
              <c:strCache>
                <c:ptCount val="1"/>
                <c:pt idx="0">
                  <c:v>AccYear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'Claims Triangles'!$B$4:$U$4</c:f>
              <c:numCache/>
            </c:numRef>
          </c:cat>
          <c:val>
            <c:numRef>
              <c:f>'Claims Triangles'!$B$6:$U$6</c:f>
              <c:numCache>
                <c:ptCount val="20"/>
                <c:pt idx="0">
                  <c:v>0.7706</c:v>
                </c:pt>
                <c:pt idx="1">
                  <c:v>0.9119999999999999</c:v>
                </c:pt>
                <c:pt idx="2">
                  <c:v>0.9538</c:v>
                </c:pt>
                <c:pt idx="3">
                  <c:v>0.973</c:v>
                </c:pt>
                <c:pt idx="4">
                  <c:v>0.9836</c:v>
                </c:pt>
                <c:pt idx="5">
                  <c:v>0.99</c:v>
                </c:pt>
                <c:pt idx="6">
                  <c:v>0.994</c:v>
                </c:pt>
                <c:pt idx="7">
                  <c:v>0.9964</c:v>
                </c:pt>
                <c:pt idx="8">
                  <c:v>0.9978</c:v>
                </c:pt>
                <c:pt idx="9">
                  <c:v>0.9986</c:v>
                </c:pt>
                <c:pt idx="10">
                  <c:v>0.9992</c:v>
                </c:pt>
                <c:pt idx="11">
                  <c:v>0.9996</c:v>
                </c:pt>
                <c:pt idx="12">
                  <c:v>0.9996</c:v>
                </c:pt>
                <c:pt idx="13">
                  <c:v>0.9998</c:v>
                </c:pt>
                <c:pt idx="14">
                  <c:v>0.9998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'Claims Triangles'!$A$7</c:f>
              <c:strCache>
                <c:ptCount val="1"/>
                <c:pt idx="0">
                  <c:v>AccYear 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'Claims Triangles'!$B$4:$U$4</c:f>
              <c:numCache/>
            </c:numRef>
          </c:cat>
          <c:val>
            <c:numRef>
              <c:f>'Claims Triangles'!$B$7:$U$7</c:f>
              <c:numCache>
                <c:ptCount val="20"/>
                <c:pt idx="0">
                  <c:v>0.6762</c:v>
                </c:pt>
                <c:pt idx="1">
                  <c:v>0.842</c:v>
                </c:pt>
                <c:pt idx="2">
                  <c:v>0.9096</c:v>
                </c:pt>
                <c:pt idx="3">
                  <c:v>0.946</c:v>
                </c:pt>
                <c:pt idx="4">
                  <c:v>0.9672000000000001</c:v>
                </c:pt>
                <c:pt idx="5">
                  <c:v>0.98</c:v>
                </c:pt>
                <c:pt idx="6">
                  <c:v>0.988</c:v>
                </c:pt>
                <c:pt idx="7">
                  <c:v>0.9928</c:v>
                </c:pt>
                <c:pt idx="8">
                  <c:v>0.9956</c:v>
                </c:pt>
                <c:pt idx="9">
                  <c:v>0.9972</c:v>
                </c:pt>
                <c:pt idx="10">
                  <c:v>0.9984</c:v>
                </c:pt>
                <c:pt idx="11">
                  <c:v>0.9992</c:v>
                </c:pt>
                <c:pt idx="12">
                  <c:v>0.9992</c:v>
                </c:pt>
                <c:pt idx="13">
                  <c:v>0.9996</c:v>
                </c:pt>
                <c:pt idx="14">
                  <c:v>0.9996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'Claims Triangles'!$A$8</c:f>
              <c:strCache>
                <c:ptCount val="1"/>
                <c:pt idx="0">
                  <c:v>AccYear 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'Claims Triangles'!$B$4:$U$4</c:f>
              <c:numCache/>
            </c:numRef>
          </c:cat>
          <c:val>
            <c:numRef>
              <c:f>'Claims Triangles'!$B$8:$U$8</c:f>
              <c:numCache>
                <c:ptCount val="20"/>
                <c:pt idx="0">
                  <c:v>0.5818</c:v>
                </c:pt>
                <c:pt idx="1">
                  <c:v>0.772</c:v>
                </c:pt>
                <c:pt idx="2">
                  <c:v>0.8654000000000001</c:v>
                </c:pt>
                <c:pt idx="3">
                  <c:v>0.919</c:v>
                </c:pt>
                <c:pt idx="4">
                  <c:v>0.9508</c:v>
                </c:pt>
                <c:pt idx="5">
                  <c:v>0.97</c:v>
                </c:pt>
                <c:pt idx="6">
                  <c:v>0.982</c:v>
                </c:pt>
                <c:pt idx="7">
                  <c:v>0.9892</c:v>
                </c:pt>
                <c:pt idx="8">
                  <c:v>0.9934</c:v>
                </c:pt>
                <c:pt idx="9">
                  <c:v>0.9958</c:v>
                </c:pt>
                <c:pt idx="10">
                  <c:v>0.9976</c:v>
                </c:pt>
                <c:pt idx="11">
                  <c:v>0.9988</c:v>
                </c:pt>
                <c:pt idx="12">
                  <c:v>0.9988</c:v>
                </c:pt>
                <c:pt idx="13">
                  <c:v>0.9994</c:v>
                </c:pt>
                <c:pt idx="14">
                  <c:v>0.9994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'Claims Triangles'!$A$9</c:f>
              <c:strCache>
                <c:ptCount val="1"/>
                <c:pt idx="0">
                  <c:v>AccYear 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'Claims Triangles'!$B$4:$U$4</c:f>
              <c:numCache/>
            </c:numRef>
          </c:cat>
          <c:val>
            <c:numRef>
              <c:f>'Claims Triangles'!$B$9:$U$9</c:f>
              <c:numCache>
                <c:ptCount val="20"/>
                <c:pt idx="0">
                  <c:v>0.4874</c:v>
                </c:pt>
                <c:pt idx="1">
                  <c:v>0.702</c:v>
                </c:pt>
                <c:pt idx="2">
                  <c:v>0.8212</c:v>
                </c:pt>
                <c:pt idx="3">
                  <c:v>0.892</c:v>
                </c:pt>
                <c:pt idx="4">
                  <c:v>0.9344</c:v>
                </c:pt>
                <c:pt idx="5">
                  <c:v>0.96</c:v>
                </c:pt>
                <c:pt idx="6">
                  <c:v>0.976</c:v>
                </c:pt>
                <c:pt idx="7">
                  <c:v>0.9856</c:v>
                </c:pt>
                <c:pt idx="8">
                  <c:v>0.9912</c:v>
                </c:pt>
                <c:pt idx="9">
                  <c:v>0.9944</c:v>
                </c:pt>
                <c:pt idx="10">
                  <c:v>0.9968</c:v>
                </c:pt>
                <c:pt idx="11">
                  <c:v>0.9984</c:v>
                </c:pt>
                <c:pt idx="12">
                  <c:v>0.9984</c:v>
                </c:pt>
                <c:pt idx="13">
                  <c:v>0.9992</c:v>
                </c:pt>
                <c:pt idx="14">
                  <c:v>0.9992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'Claims Triangles'!$A$10</c:f>
              <c:strCache>
                <c:ptCount val="1"/>
                <c:pt idx="0">
                  <c:v>AccYear 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'Claims Triangles'!$B$4:$U$4</c:f>
              <c:numCache/>
            </c:numRef>
          </c:cat>
          <c:val>
            <c:numRef>
              <c:f>'Claims Triangles'!$B$10:$U$10</c:f>
              <c:numCache>
                <c:ptCount val="20"/>
                <c:pt idx="0">
                  <c:v>0.393</c:v>
                </c:pt>
                <c:pt idx="1">
                  <c:v>0.632</c:v>
                </c:pt>
                <c:pt idx="2">
                  <c:v>0.777</c:v>
                </c:pt>
                <c:pt idx="3">
                  <c:v>0.865</c:v>
                </c:pt>
                <c:pt idx="4">
                  <c:v>0.918</c:v>
                </c:pt>
                <c:pt idx="5">
                  <c:v>0.95</c:v>
                </c:pt>
                <c:pt idx="6">
                  <c:v>0.97</c:v>
                </c:pt>
                <c:pt idx="7">
                  <c:v>0.982</c:v>
                </c:pt>
                <c:pt idx="8">
                  <c:v>0.989</c:v>
                </c:pt>
                <c:pt idx="9">
                  <c:v>0.993</c:v>
                </c:pt>
                <c:pt idx="10">
                  <c:v>0.996</c:v>
                </c:pt>
                <c:pt idx="11">
                  <c:v>0.998</c:v>
                </c:pt>
                <c:pt idx="12">
                  <c:v>0.998</c:v>
                </c:pt>
                <c:pt idx="13">
                  <c:v>0.999</c:v>
                </c:pt>
                <c:pt idx="14">
                  <c:v>0.999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marker val="1"/>
        <c:axId val="12753327"/>
        <c:axId val="47671080"/>
      </c:line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1080"/>
        <c:crosses val="autoZero"/>
        <c:auto val="1"/>
        <c:lblOffset val="100"/>
        <c:tickLblSkip val="1"/>
        <c:noMultiLvlLbl val="0"/>
      </c:catAx>
      <c:valAx>
        <c:axId val="4767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5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3295"/>
          <c:w val="0.154"/>
          <c:h val="0.2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3"/>
          <c:w val="0.67625"/>
          <c:h val="0.954"/>
        </c:manualLayout>
      </c:layout>
      <c:scatterChart>
        <c:scatterStyle val="lineMarker"/>
        <c:varyColors val="0"/>
        <c:ser>
          <c:idx val="0"/>
          <c:order val="0"/>
          <c:tx>
            <c:v>Claim development BoP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'Logistična funkcija'!$B$5:$B$23</c:f>
              <c:numCache/>
            </c:numRef>
          </c:yVal>
          <c:smooth val="0"/>
        </c:ser>
        <c:ser>
          <c:idx val="1"/>
          <c:order val="1"/>
          <c:tx>
            <c:v>Claim development EoP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'Logistična funkcija'!$B$28:$B$47</c:f>
              <c:numCache/>
            </c:numRef>
          </c:yVal>
          <c:smooth val="0"/>
        </c:ser>
        <c:axId val="26386537"/>
        <c:axId val="36152242"/>
      </c:scatterChart>
      <c:valAx>
        <c:axId val="2638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52242"/>
        <c:crosses val="autoZero"/>
        <c:crossBetween val="midCat"/>
        <c:dispUnits/>
      </c:valAx>
      <c:valAx>
        <c:axId val="36152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86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4275"/>
          <c:w val="0.281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3"/>
          <c:w val="0.67625"/>
          <c:h val="0.954"/>
        </c:manualLayout>
      </c:layout>
      <c:scatterChart>
        <c:scatterStyle val="lineMarker"/>
        <c:varyColors val="0"/>
        <c:ser>
          <c:idx val="0"/>
          <c:order val="0"/>
          <c:tx>
            <c:v>Claim development EoP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'Exponential function'!$B$4:$B$23</c:f>
              <c:numCache/>
            </c:numRef>
          </c:yVal>
          <c:smooth val="0"/>
        </c:ser>
        <c:ser>
          <c:idx val="1"/>
          <c:order val="1"/>
          <c:tx>
            <c:v>Claim development EoP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'Exponential function'!$B$28:$B$47</c:f>
              <c:numCache/>
            </c:numRef>
          </c:yVal>
          <c:smooth val="0"/>
        </c:ser>
        <c:axId val="56934723"/>
        <c:axId val="42650460"/>
      </c:scatterChart>
      <c:valAx>
        <c:axId val="5693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50460"/>
        <c:crosses val="autoZero"/>
        <c:crossBetween val="midCat"/>
        <c:dispUnits/>
      </c:valAx>
      <c:valAx>
        <c:axId val="42650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34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4275"/>
          <c:w val="0.281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10</xdr:row>
      <xdr:rowOff>104775</xdr:rowOff>
    </xdr:from>
    <xdr:to>
      <xdr:col>12</xdr:col>
      <xdr:colOff>314325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57175" y="1724025"/>
        <a:ext cx="62674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</xdr:row>
      <xdr:rowOff>47625</xdr:rowOff>
    </xdr:from>
    <xdr:to>
      <xdr:col>13</xdr:col>
      <xdr:colOff>266700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019425" y="600075"/>
        <a:ext cx="54768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9525</xdr:rowOff>
    </xdr:from>
    <xdr:to>
      <xdr:col>15</xdr:col>
      <xdr:colOff>200025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171950" y="561975"/>
        <a:ext cx="54768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5" zoomScaleNormal="75" zoomScalePageLayoutView="0" workbookViewId="0" topLeftCell="A11">
      <selection activeCell="F16" sqref="F16"/>
    </sheetView>
  </sheetViews>
  <sheetFormatPr defaultColWidth="9.140625" defaultRowHeight="12.75"/>
  <cols>
    <col min="2" max="2" width="26.57421875" style="0" bestFit="1" customWidth="1"/>
    <col min="3" max="3" width="10.8515625" style="0" customWidth="1"/>
    <col min="4" max="4" width="5.140625" style="0" customWidth="1"/>
    <col min="5" max="8" width="10.421875" style="0" bestFit="1" customWidth="1"/>
    <col min="9" max="9" width="11.00390625" style="0" customWidth="1"/>
    <col min="10" max="10" width="11.57421875" style="0" customWidth="1"/>
  </cols>
  <sheetData>
    <row r="1" ht="20.25">
      <c r="A1" s="2" t="s">
        <v>81</v>
      </c>
    </row>
    <row r="2" spans="1:2" ht="12.75">
      <c r="A2" s="61"/>
      <c r="B2" t="s">
        <v>80</v>
      </c>
    </row>
    <row r="5" ht="18">
      <c r="B5" s="1" t="s">
        <v>0</v>
      </c>
    </row>
    <row r="7" spans="2:3" ht="12.75">
      <c r="B7" s="3" t="s">
        <v>25</v>
      </c>
      <c r="C7" s="38">
        <v>1000000</v>
      </c>
    </row>
    <row r="8" spans="2:3" ht="12.75">
      <c r="B8" s="3" t="s">
        <v>3</v>
      </c>
      <c r="C8" t="s">
        <v>4</v>
      </c>
    </row>
    <row r="9" spans="2:3" ht="12.75">
      <c r="B9" s="3" t="s">
        <v>1</v>
      </c>
      <c r="C9" s="54">
        <v>0.25</v>
      </c>
    </row>
    <row r="10" spans="2:3" ht="13.5" thickBot="1">
      <c r="B10" s="3" t="s">
        <v>2</v>
      </c>
      <c r="C10" s="54">
        <v>0.04</v>
      </c>
    </row>
    <row r="11" spans="1:3" ht="12.75">
      <c r="A11" s="65" t="s">
        <v>58</v>
      </c>
      <c r="B11" s="8" t="s">
        <v>59</v>
      </c>
      <c r="C11" s="58">
        <v>0.08</v>
      </c>
    </row>
    <row r="12" spans="1:3" ht="12.75">
      <c r="A12" s="66"/>
      <c r="B12" s="13" t="s">
        <v>60</v>
      </c>
      <c r="C12" s="59">
        <v>0.056</v>
      </c>
    </row>
    <row r="13" spans="1:3" ht="12.75">
      <c r="A13" s="66"/>
      <c r="B13" s="13" t="s">
        <v>61</v>
      </c>
      <c r="C13" s="60">
        <v>0.15</v>
      </c>
    </row>
    <row r="14" spans="1:3" ht="13.5" thickBot="1">
      <c r="A14" s="67"/>
      <c r="B14" s="52" t="s">
        <v>62</v>
      </c>
      <c r="C14" s="53">
        <f>SUM(C11:C13)</f>
        <v>0.28600000000000003</v>
      </c>
    </row>
    <row r="15" spans="1:3" ht="12.75">
      <c r="A15" s="68" t="s">
        <v>75</v>
      </c>
      <c r="B15" s="8" t="s">
        <v>8</v>
      </c>
      <c r="C15" s="55">
        <v>2</v>
      </c>
    </row>
    <row r="16" spans="1:3" ht="12.75">
      <c r="A16" s="69"/>
      <c r="B16" s="13" t="s">
        <v>77</v>
      </c>
      <c r="C16" s="14">
        <f>+'Exponential function'!D25</f>
        <v>1.6549999999999998</v>
      </c>
    </row>
    <row r="17" spans="1:3" ht="12.75">
      <c r="A17" s="69"/>
      <c r="B17" s="13" t="s">
        <v>74</v>
      </c>
      <c r="C17" s="14">
        <f>+'Exponential function'!B24/'Exponential function'!B5</f>
        <v>1.1560693641618498</v>
      </c>
    </row>
    <row r="18" spans="1:3" ht="13.5" thickBot="1">
      <c r="A18" s="70"/>
      <c r="B18" s="10" t="s">
        <v>79</v>
      </c>
      <c r="C18" s="56">
        <v>0.6</v>
      </c>
    </row>
    <row r="19" spans="1:3" ht="12.75">
      <c r="A19" s="68" t="s">
        <v>76</v>
      </c>
      <c r="B19" s="13" t="s">
        <v>9</v>
      </c>
      <c r="C19" s="57">
        <v>0.5</v>
      </c>
    </row>
    <row r="20" spans="1:3" ht="12.75">
      <c r="A20" s="69"/>
      <c r="B20" s="13" t="s">
        <v>77</v>
      </c>
      <c r="C20" s="14">
        <f>+'Exponential function'!$D$49</f>
        <v>3.041</v>
      </c>
    </row>
    <row r="21" spans="1:3" ht="12.75">
      <c r="A21" s="69"/>
      <c r="B21" s="13" t="s">
        <v>74</v>
      </c>
      <c r="C21" s="14">
        <f>+'Exponential function'!B48/'Exponential function'!B29</f>
        <v>2.544529262086514</v>
      </c>
    </row>
    <row r="22" spans="1:3" ht="13.5" thickBot="1">
      <c r="A22" s="70"/>
      <c r="B22" s="10" t="s">
        <v>78</v>
      </c>
      <c r="C22" s="56">
        <v>0.8</v>
      </c>
    </row>
    <row r="23" spans="5:10" ht="12.75">
      <c r="E23" s="31" t="s">
        <v>11</v>
      </c>
      <c r="F23" s="31" t="s">
        <v>12</v>
      </c>
      <c r="G23" s="31" t="s">
        <v>13</v>
      </c>
      <c r="H23" s="31" t="s">
        <v>14</v>
      </c>
      <c r="I23" s="31" t="s">
        <v>15</v>
      </c>
      <c r="J23" s="31" t="s">
        <v>16</v>
      </c>
    </row>
    <row r="24" spans="1:10" ht="13.5" thickBot="1">
      <c r="A24" s="25"/>
      <c r="B24" s="25"/>
      <c r="C24" s="25"/>
      <c r="D24" s="25"/>
      <c r="E24" s="32">
        <v>2009</v>
      </c>
      <c r="F24" s="32">
        <v>2010</v>
      </c>
      <c r="G24" s="32">
        <v>2011</v>
      </c>
      <c r="H24" s="32">
        <v>2012</v>
      </c>
      <c r="I24" s="32">
        <v>2013</v>
      </c>
      <c r="J24" s="32">
        <v>2014</v>
      </c>
    </row>
    <row r="25" spans="2:10" ht="12.75">
      <c r="B25" s="3" t="s">
        <v>45</v>
      </c>
      <c r="C25" s="26" t="s">
        <v>35</v>
      </c>
      <c r="D25" s="16"/>
      <c r="E25" s="19">
        <f>+Premium!A8</f>
        <v>1000000</v>
      </c>
      <c r="F25" s="19">
        <f>+Premium!A20</f>
        <v>1300000.000000002</v>
      </c>
      <c r="G25" s="19">
        <f>+Premium!A32</f>
        <v>1690000.0000000054</v>
      </c>
      <c r="H25" s="19">
        <f>+Premium!A44</f>
        <v>2197000.0000000102</v>
      </c>
      <c r="I25" s="19">
        <f>+Premium!A56</f>
        <v>2856100.0000000177</v>
      </c>
      <c r="J25" s="19">
        <f>+Premium!A68</f>
        <v>3712930.000000029</v>
      </c>
    </row>
    <row r="26" spans="2:10" ht="12.75">
      <c r="B26" s="3" t="s">
        <v>34</v>
      </c>
      <c r="C26" s="26" t="s">
        <v>36</v>
      </c>
      <c r="E26" s="19">
        <f>+Premium!A18</f>
        <v>322748.8909426004</v>
      </c>
      <c r="F26" s="19">
        <f>+Premium!A30-Premium!A18</f>
        <v>96824.6672827808</v>
      </c>
      <c r="G26" s="19">
        <f>+Premium!A42-Premium!A30</f>
        <v>125872.06746761512</v>
      </c>
      <c r="H26" s="19">
        <f>+Premium!A54-Premium!A42</f>
        <v>163633.68770789995</v>
      </c>
      <c r="I26" s="19">
        <f>+Premium!A66-Premium!A54</f>
        <v>212723.79402027046</v>
      </c>
      <c r="J26" s="19">
        <f>+Premium!A78-Premium!A66</f>
        <v>276540.93222635216</v>
      </c>
    </row>
    <row r="27" spans="1:10" ht="12.75">
      <c r="A27" s="28"/>
      <c r="B27" s="27" t="s">
        <v>38</v>
      </c>
      <c r="C27" s="28" t="s">
        <v>37</v>
      </c>
      <c r="D27" s="28"/>
      <c r="E27" s="29">
        <f aca="true" t="shared" si="0" ref="E27:J27">+E25-E26</f>
        <v>677251.1090573997</v>
      </c>
      <c r="F27" s="29">
        <f t="shared" si="0"/>
        <v>1203175.3327172212</v>
      </c>
      <c r="G27" s="29">
        <f t="shared" si="0"/>
        <v>1564127.93253239</v>
      </c>
      <c r="H27" s="29">
        <f t="shared" si="0"/>
        <v>2033366.3122921102</v>
      </c>
      <c r="I27" s="29">
        <f t="shared" si="0"/>
        <v>2643376.205979747</v>
      </c>
      <c r="J27" s="29">
        <f t="shared" si="0"/>
        <v>3436389.0677736765</v>
      </c>
    </row>
    <row r="28" spans="1:10" ht="12.75">
      <c r="A28" s="62" t="s">
        <v>54</v>
      </c>
      <c r="B28" s="3" t="s">
        <v>39</v>
      </c>
      <c r="C28" s="26" t="s">
        <v>43</v>
      </c>
      <c r="E28" s="19">
        <f>+'Claims Triangles'!G56</f>
        <v>351493.3256007904</v>
      </c>
      <c r="F28" s="19">
        <f>+'Claims Triangles'!H56</f>
        <v>640929.8511466394</v>
      </c>
      <c r="G28" s="19">
        <f>+'Claims Triangles'!I56</f>
        <v>834595.2149818423</v>
      </c>
      <c r="H28" s="19">
        <f>+'Claims Triangles'!J56</f>
        <v>1061115.1022110675</v>
      </c>
      <c r="I28" s="19">
        <f>+'Claims Triangles'!K56</f>
        <v>1344311.7552854507</v>
      </c>
      <c r="J28" s="19">
        <f>+'Claims Triangles'!L56</f>
        <v>1695142.262410732</v>
      </c>
    </row>
    <row r="29" spans="1:10" ht="12.75">
      <c r="A29" s="63"/>
      <c r="B29" s="13" t="s">
        <v>47</v>
      </c>
      <c r="C29" s="33" t="s">
        <v>44</v>
      </c>
      <c r="D29" s="15"/>
      <c r="E29" s="34">
        <f>+'Claims Triangles'!G57</f>
        <v>54857.33983364938</v>
      </c>
      <c r="F29" s="34">
        <f>+'Claims Triangles'!H57-'Claims Triangles'!G57</f>
        <v>129102.36179238211</v>
      </c>
      <c r="G29" s="34">
        <f>+'Claims Triangles'!I57-'Claims Triangles'!H57</f>
        <v>229011.77914018318</v>
      </c>
      <c r="H29" s="34">
        <f>+'Claims Triangles'!J57-'Claims Triangles'!I57</f>
        <v>402908.6426392519</v>
      </c>
      <c r="I29" s="34">
        <f>+'Claims Triangles'!K57-'Claims Triangles'!J57</f>
        <v>664654.1612591569</v>
      </c>
      <c r="J29" s="34">
        <f>+'Claims Triangles'!L57-'Claims Triangles'!K57</f>
        <v>1053968.9918082096</v>
      </c>
    </row>
    <row r="30" spans="1:10" ht="13.5" thickBot="1">
      <c r="A30" s="64"/>
      <c r="B30" s="10" t="s">
        <v>48</v>
      </c>
      <c r="C30" s="32" t="s">
        <v>49</v>
      </c>
      <c r="D30" s="25"/>
      <c r="E30" s="35">
        <f aca="true" t="shared" si="1" ref="E30:J30">+E28+E29</f>
        <v>406350.6654344398</v>
      </c>
      <c r="F30" s="35">
        <f t="shared" si="1"/>
        <v>770032.2129390215</v>
      </c>
      <c r="G30" s="35">
        <f t="shared" si="1"/>
        <v>1063606.9941220256</v>
      </c>
      <c r="H30" s="35">
        <f t="shared" si="1"/>
        <v>1464023.7448503193</v>
      </c>
      <c r="I30" s="35">
        <f t="shared" si="1"/>
        <v>2008965.9165446076</v>
      </c>
      <c r="J30" s="35">
        <f t="shared" si="1"/>
        <v>2749111.2542189416</v>
      </c>
    </row>
    <row r="31" spans="1:10" ht="12.75">
      <c r="A31" s="36"/>
      <c r="B31" s="13" t="s">
        <v>58</v>
      </c>
      <c r="C31" s="26" t="s">
        <v>56</v>
      </c>
      <c r="D31" s="15"/>
      <c r="E31" s="34">
        <f aca="true" t="shared" si="2" ref="E31:J31">+E25*($C$11+$C$13)-E26*$C$11+E28*$C$12</f>
        <v>223863.7149582362</v>
      </c>
      <c r="F31" s="34">
        <f t="shared" si="2"/>
        <v>327146.0982815898</v>
      </c>
      <c r="G31" s="34">
        <f t="shared" si="2"/>
        <v>425367.5666415752</v>
      </c>
      <c r="H31" s="34">
        <f t="shared" si="2"/>
        <v>551641.7507071901</v>
      </c>
      <c r="I31" s="34">
        <f t="shared" si="2"/>
        <v>715166.5547743677</v>
      </c>
      <c r="J31" s="34">
        <f t="shared" si="2"/>
        <v>926778.5921168993</v>
      </c>
    </row>
    <row r="32" spans="1:10" ht="12.75">
      <c r="A32" s="36"/>
      <c r="B32" s="13" t="s">
        <v>63</v>
      </c>
      <c r="C32" s="33" t="s">
        <v>57</v>
      </c>
      <c r="D32" s="15"/>
      <c r="E32" s="34">
        <f aca="true" t="shared" si="3" ref="E32:J32">+E29*$C$12</f>
        <v>3072.0110306843653</v>
      </c>
      <c r="F32" s="34">
        <f t="shared" si="3"/>
        <v>7229.732260373398</v>
      </c>
      <c r="G32" s="34">
        <f t="shared" si="3"/>
        <v>12824.659631850258</v>
      </c>
      <c r="H32" s="34">
        <f t="shared" si="3"/>
        <v>22562.883987798108</v>
      </c>
      <c r="I32" s="34">
        <f t="shared" si="3"/>
        <v>37220.633030512785</v>
      </c>
      <c r="J32" s="34">
        <f t="shared" si="3"/>
        <v>59022.26354125974</v>
      </c>
    </row>
    <row r="33" spans="1:10" ht="15.75">
      <c r="A33" s="36"/>
      <c r="B33" s="48" t="s">
        <v>64</v>
      </c>
      <c r="C33" s="49"/>
      <c r="D33" s="50"/>
      <c r="E33" s="51">
        <f aca="true" t="shared" si="4" ref="E33:J33">+E27-E30-E31-E32</f>
        <v>43964.71763403933</v>
      </c>
      <c r="F33" s="51">
        <f t="shared" si="4"/>
        <v>98767.28923623651</v>
      </c>
      <c r="G33" s="51">
        <f t="shared" si="4"/>
        <v>62328.71213693911</v>
      </c>
      <c r="H33" s="51">
        <f t="shared" si="4"/>
        <v>-4862.067253197412</v>
      </c>
      <c r="I33" s="51">
        <f t="shared" si="4"/>
        <v>-117976.89836974087</v>
      </c>
      <c r="J33" s="51">
        <f t="shared" si="4"/>
        <v>-298523.04210342414</v>
      </c>
    </row>
    <row r="34" spans="1:10" ht="12.75">
      <c r="A34" s="36"/>
      <c r="B34" s="13"/>
      <c r="C34" s="31"/>
      <c r="D34" s="15"/>
      <c r="E34" s="34"/>
      <c r="F34" s="34"/>
      <c r="G34" s="34"/>
      <c r="H34" s="37"/>
      <c r="I34" s="34"/>
      <c r="J34" s="34"/>
    </row>
    <row r="35" spans="2:10" ht="12.75">
      <c r="B35" s="39" t="s">
        <v>51</v>
      </c>
      <c r="C35" s="40" t="s">
        <v>50</v>
      </c>
      <c r="D35" s="41"/>
      <c r="E35" s="42">
        <f aca="true" t="shared" si="5" ref="E35:J35">+E28/E25</f>
        <v>0.3514933256007904</v>
      </c>
      <c r="F35" s="42">
        <f t="shared" si="5"/>
        <v>0.4930229624204911</v>
      </c>
      <c r="G35" s="42">
        <f t="shared" si="5"/>
        <v>0.49384332247446133</v>
      </c>
      <c r="H35" s="42">
        <f t="shared" si="5"/>
        <v>0.4829836605421313</v>
      </c>
      <c r="I35" s="42">
        <f t="shared" si="5"/>
        <v>0.47068091288310715</v>
      </c>
      <c r="J35" s="42">
        <f t="shared" si="5"/>
        <v>0.4565510964146156</v>
      </c>
    </row>
    <row r="36" spans="2:10" ht="12.75">
      <c r="B36" s="44" t="s">
        <v>52</v>
      </c>
      <c r="C36" s="45" t="s">
        <v>53</v>
      </c>
      <c r="D36" s="46"/>
      <c r="E36" s="47">
        <f aca="true" t="shared" si="6" ref="E36:J36">+E30/E27</f>
        <v>0.6</v>
      </c>
      <c r="F36" s="47">
        <f t="shared" si="6"/>
        <v>0.6399999999999999</v>
      </c>
      <c r="G36" s="47">
        <f t="shared" si="6"/>
        <v>0.6800000000000002</v>
      </c>
      <c r="H36" s="47">
        <f t="shared" si="6"/>
        <v>0.72</v>
      </c>
      <c r="I36" s="47">
        <f t="shared" si="6"/>
        <v>0.7599999999999999</v>
      </c>
      <c r="J36" s="47">
        <f t="shared" si="6"/>
        <v>0.8000000000000002</v>
      </c>
    </row>
    <row r="37" spans="2:10" ht="12.75">
      <c r="B37" s="39" t="s">
        <v>65</v>
      </c>
      <c r="C37" s="43"/>
      <c r="D37" s="41"/>
      <c r="E37" s="42">
        <f aca="true" t="shared" si="7" ref="E37:J37">+(E31+E28)/E25</f>
        <v>0.5753570405590267</v>
      </c>
      <c r="F37" s="42">
        <f t="shared" si="7"/>
        <v>0.7446738072524828</v>
      </c>
      <c r="G37" s="42">
        <f t="shared" si="7"/>
        <v>0.7455401074694754</v>
      </c>
      <c r="H37" s="42">
        <f t="shared" si="7"/>
        <v>0.7340723044689349</v>
      </c>
      <c r="I37" s="42">
        <f t="shared" si="7"/>
        <v>0.7210806029410054</v>
      </c>
      <c r="J37" s="42">
        <f t="shared" si="7"/>
        <v>0.7061595167502783</v>
      </c>
    </row>
    <row r="38" spans="2:11" ht="12.75">
      <c r="B38" s="44" t="s">
        <v>66</v>
      </c>
      <c r="C38" s="45"/>
      <c r="D38" s="46"/>
      <c r="E38" s="47">
        <f aca="true" t="shared" si="8" ref="E38:J38">+(E31+E32+E30)/E27</f>
        <v>0.9350835797150194</v>
      </c>
      <c r="F38" s="47">
        <f t="shared" si="8"/>
        <v>0.9179111418340146</v>
      </c>
      <c r="G38" s="47">
        <f t="shared" si="8"/>
        <v>0.9601511418340146</v>
      </c>
      <c r="H38" s="47">
        <f t="shared" si="8"/>
        <v>1.0023911418340146</v>
      </c>
      <c r="I38" s="47">
        <f t="shared" si="8"/>
        <v>1.0446311418340144</v>
      </c>
      <c r="J38" s="47">
        <f t="shared" si="8"/>
        <v>1.0868711418340147</v>
      </c>
      <c r="K38" s="4"/>
    </row>
    <row r="39" ht="12.75">
      <c r="B39" s="3"/>
    </row>
    <row r="40" spans="1:10" ht="12.75">
      <c r="A40" s="63" t="s">
        <v>55</v>
      </c>
      <c r="B40" s="3" t="s">
        <v>39</v>
      </c>
      <c r="C40" s="26" t="s">
        <v>67</v>
      </c>
      <c r="E40" s="19">
        <f>+'Claims Triangles'!G68</f>
        <v>351493.3256007904</v>
      </c>
      <c r="F40" s="19">
        <f>+'Claims Triangles'!H68</f>
        <v>642831.5722608726</v>
      </c>
      <c r="G40" s="19">
        <f>+'Claims Triangles'!I68</f>
        <v>839481.0486070166</v>
      </c>
      <c r="H40" s="19">
        <f>+'Claims Triangles'!J68</f>
        <v>1070896.9084095317</v>
      </c>
      <c r="I40" s="19">
        <f>+'Claims Triangles'!K68</f>
        <v>1363163.1408959075</v>
      </c>
      <c r="J40" s="19">
        <f>+'Claims Triangles'!L68</f>
        <v>1729765.785077635</v>
      </c>
    </row>
    <row r="41" spans="1:10" ht="12.75">
      <c r="A41" s="63"/>
      <c r="B41" s="13" t="s">
        <v>72</v>
      </c>
      <c r="C41" s="33" t="s">
        <v>68</v>
      </c>
      <c r="D41" s="15"/>
      <c r="E41" s="34">
        <f>+'Claims Triangles'!G69</f>
        <v>57391.06951565137</v>
      </c>
      <c r="F41" s="34">
        <f>+'Claims Triangles'!H69-'Claims Triangles'!G69</f>
        <v>141155.65585406974</v>
      </c>
      <c r="G41" s="34">
        <f>+'Claims Triangles'!I69-'Claims Triangles'!H69</f>
        <v>256044.7364670451</v>
      </c>
      <c r="H41" s="34">
        <f>+'Claims Triangles'!J69-'Claims Triangles'!I69</f>
        <v>454465.4177525857</v>
      </c>
      <c r="I41" s="34">
        <f>+'Claims Triangles'!K69-'Claims Triangles'!J69</f>
        <v>750959.7136832388</v>
      </c>
      <c r="J41" s="34">
        <f>+'Claims Triangles'!L69-'Claims Triangles'!K69</f>
        <v>1194933.776342591</v>
      </c>
    </row>
    <row r="42" spans="1:10" ht="13.5" thickBot="1">
      <c r="A42" s="64"/>
      <c r="B42" s="10" t="s">
        <v>73</v>
      </c>
      <c r="C42" s="32" t="s">
        <v>69</v>
      </c>
      <c r="D42" s="25"/>
      <c r="E42" s="35">
        <f aca="true" t="shared" si="9" ref="E42:J42">+E40+E41</f>
        <v>408884.39511644177</v>
      </c>
      <c r="F42" s="35">
        <f t="shared" si="9"/>
        <v>783987.2281149423</v>
      </c>
      <c r="G42" s="35">
        <f t="shared" si="9"/>
        <v>1095525.7850740617</v>
      </c>
      <c r="H42" s="35">
        <f t="shared" si="9"/>
        <v>1525362.3261621175</v>
      </c>
      <c r="I42" s="35">
        <f t="shared" si="9"/>
        <v>2114122.8545791465</v>
      </c>
      <c r="J42" s="35">
        <f t="shared" si="9"/>
        <v>2924699.561420226</v>
      </c>
    </row>
    <row r="43" spans="2:10" ht="12.75">
      <c r="B43" s="13" t="s">
        <v>58</v>
      </c>
      <c r="C43" s="26" t="s">
        <v>56</v>
      </c>
      <c r="D43" s="15"/>
      <c r="E43" s="34">
        <f aca="true" t="shared" si="10" ref="E43:J43">+E25*($C$11+$C$13)-E26*$C$11+E40*$C$12</f>
        <v>223863.7149582362</v>
      </c>
      <c r="F43" s="34">
        <f t="shared" si="10"/>
        <v>327252.5946639869</v>
      </c>
      <c r="G43" s="34">
        <f t="shared" si="10"/>
        <v>425641.17332458496</v>
      </c>
      <c r="H43" s="34">
        <f t="shared" si="10"/>
        <v>552189.5318543041</v>
      </c>
      <c r="I43" s="34">
        <f t="shared" si="10"/>
        <v>716222.2323685533</v>
      </c>
      <c r="J43" s="34">
        <f t="shared" si="10"/>
        <v>928717.5093862459</v>
      </c>
    </row>
    <row r="44" spans="2:10" ht="12.75">
      <c r="B44" s="13" t="s">
        <v>63</v>
      </c>
      <c r="C44" s="33" t="s">
        <v>57</v>
      </c>
      <c r="D44" s="15"/>
      <c r="E44" s="34">
        <f aca="true" t="shared" si="11" ref="E44:J44">+E41*$C$12</f>
        <v>3213.8998928764768</v>
      </c>
      <c r="F44" s="34">
        <f t="shared" si="11"/>
        <v>7904.716727827906</v>
      </c>
      <c r="G44" s="34">
        <f t="shared" si="11"/>
        <v>14338.505242154526</v>
      </c>
      <c r="H44" s="34">
        <f t="shared" si="11"/>
        <v>25450.0633941448</v>
      </c>
      <c r="I44" s="34">
        <f t="shared" si="11"/>
        <v>42053.743966261376</v>
      </c>
      <c r="J44" s="34">
        <f t="shared" si="11"/>
        <v>66916.2914751851</v>
      </c>
    </row>
    <row r="45" spans="2:10" ht="15.75">
      <c r="B45" s="48" t="s">
        <v>64</v>
      </c>
      <c r="C45" s="49"/>
      <c r="D45" s="50"/>
      <c r="E45" s="51">
        <f aca="true" t="shared" si="12" ref="E45:J45">+E27-E42-E43-E44</f>
        <v>41289.09908984523</v>
      </c>
      <c r="F45" s="51">
        <f t="shared" si="12"/>
        <v>84030.79321046412</v>
      </c>
      <c r="G45" s="51">
        <f t="shared" si="12"/>
        <v>28622.468891588913</v>
      </c>
      <c r="H45" s="51">
        <f t="shared" si="12"/>
        <v>-69635.6091184563</v>
      </c>
      <c r="I45" s="51">
        <f t="shared" si="12"/>
        <v>-229022.62493421393</v>
      </c>
      <c r="J45" s="51">
        <f t="shared" si="12"/>
        <v>-483944.29450798046</v>
      </c>
    </row>
    <row r="46" ht="12.75">
      <c r="B46" s="3"/>
    </row>
    <row r="47" spans="2:10" ht="12.75">
      <c r="B47" s="39" t="s">
        <v>51</v>
      </c>
      <c r="C47" s="40" t="s">
        <v>70</v>
      </c>
      <c r="D47" s="41"/>
      <c r="E47" s="42">
        <f aca="true" t="shared" si="13" ref="E47:J47">+E40/E25</f>
        <v>0.3514933256007904</v>
      </c>
      <c r="F47" s="42">
        <f t="shared" si="13"/>
        <v>0.494485824816055</v>
      </c>
      <c r="G47" s="42">
        <f t="shared" si="13"/>
        <v>0.4967343482881739</v>
      </c>
      <c r="H47" s="42">
        <f t="shared" si="13"/>
        <v>0.48743600746906085</v>
      </c>
      <c r="I47" s="42">
        <f t="shared" si="13"/>
        <v>0.47728130699061627</v>
      </c>
      <c r="J47" s="42">
        <f t="shared" si="13"/>
        <v>0.4658762177249831</v>
      </c>
    </row>
    <row r="48" spans="2:10" ht="12.75">
      <c r="B48" s="44" t="s">
        <v>52</v>
      </c>
      <c r="C48" s="45" t="s">
        <v>71</v>
      </c>
      <c r="D48" s="46"/>
      <c r="E48" s="47">
        <f aca="true" t="shared" si="14" ref="E48:J48">+E42/E27</f>
        <v>0.6037411967999999</v>
      </c>
      <c r="F48" s="47">
        <f t="shared" si="14"/>
        <v>0.6515984884301153</v>
      </c>
      <c r="G48" s="47">
        <f t="shared" si="14"/>
        <v>0.700406764873995</v>
      </c>
      <c r="H48" s="47">
        <f t="shared" si="14"/>
        <v>0.750166026131639</v>
      </c>
      <c r="I48" s="47">
        <f t="shared" si="14"/>
        <v>0.7997812985516993</v>
      </c>
      <c r="J48" s="47">
        <f t="shared" si="14"/>
        <v>0.8510967482838149</v>
      </c>
    </row>
    <row r="49" spans="2:10" ht="12.75">
      <c r="B49" s="39" t="s">
        <v>65</v>
      </c>
      <c r="C49" s="43"/>
      <c r="D49" s="41"/>
      <c r="E49" s="42">
        <f aca="true" t="shared" si="15" ref="E49:J49">+(E43+E40)/E27</f>
        <v>0.8495475797150196</v>
      </c>
      <c r="F49" s="42">
        <f t="shared" si="15"/>
        <v>0.8062699928646687</v>
      </c>
      <c r="G49" s="42">
        <f t="shared" si="15"/>
        <v>0.8088355150612996</v>
      </c>
      <c r="H49" s="42">
        <f t="shared" si="15"/>
        <v>0.7982262863567426</v>
      </c>
      <c r="I49" s="42">
        <f t="shared" si="15"/>
        <v>0.7866399676900142</v>
      </c>
      <c r="J49" s="42">
        <f t="shared" si="15"/>
        <v>0.7736269793764141</v>
      </c>
    </row>
    <row r="50" spans="2:10" ht="12.75">
      <c r="B50" s="44" t="s">
        <v>66</v>
      </c>
      <c r="C50" s="45"/>
      <c r="D50" s="46"/>
      <c r="E50" s="47">
        <f aca="true" t="shared" si="16" ref="E50:J50">+(E43+E44+E42)/E27</f>
        <v>0.9390342835358195</v>
      </c>
      <c r="F50" s="47">
        <f t="shared" si="16"/>
        <v>0.9301591456162162</v>
      </c>
      <c r="G50" s="47">
        <f t="shared" si="16"/>
        <v>0.9817006855409531</v>
      </c>
      <c r="H50" s="47">
        <f t="shared" si="16"/>
        <v>1.034246465429025</v>
      </c>
      <c r="I50" s="47">
        <f t="shared" si="16"/>
        <v>1.0866401931046088</v>
      </c>
      <c r="J50" s="47">
        <f t="shared" si="16"/>
        <v>1.1408293080217229</v>
      </c>
    </row>
  </sheetData>
  <sheetProtection/>
  <mergeCells count="5">
    <mergeCell ref="A28:A30"/>
    <mergeCell ref="A40:A42"/>
    <mergeCell ref="A11:A14"/>
    <mergeCell ref="A15:A18"/>
    <mergeCell ref="A19:A2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6">
      <selection activeCell="C24" sqref="C24"/>
    </sheetView>
  </sheetViews>
  <sheetFormatPr defaultColWidth="9.140625" defaultRowHeight="12.75"/>
  <cols>
    <col min="2" max="2" width="9.28125" style="0" bestFit="1" customWidth="1"/>
    <col min="3" max="3" width="20.421875" style="0" customWidth="1"/>
  </cols>
  <sheetData>
    <row r="1" spans="1:2" ht="12.75">
      <c r="A1" s="3" t="s">
        <v>5</v>
      </c>
      <c r="B1">
        <f>+'P &amp; L'!C7/12</f>
        <v>83333.33333333333</v>
      </c>
    </row>
    <row r="2" spans="1:2" ht="12.75">
      <c r="A2" s="3" t="s">
        <v>26</v>
      </c>
      <c r="B2" s="21">
        <f>('P &amp; L'!C10+1)^(1/12)</f>
        <v>1.003273739782199</v>
      </c>
    </row>
    <row r="3" spans="1:2" ht="12.75">
      <c r="A3" s="3" t="s">
        <v>27</v>
      </c>
      <c r="B3" s="21">
        <f>('P &amp; L'!C9+1)^(1/12)</f>
        <v>1.0187692651215061</v>
      </c>
    </row>
    <row r="4" spans="1:7" ht="12.75">
      <c r="A4" s="3" t="s">
        <v>28</v>
      </c>
      <c r="B4" s="21">
        <f>+B2*B3</f>
        <v>1.0221044505936159</v>
      </c>
      <c r="D4" t="s">
        <v>31</v>
      </c>
      <c r="E4" t="s">
        <v>32</v>
      </c>
      <c r="F4" t="s">
        <v>30</v>
      </c>
      <c r="G4">
        <v>12</v>
      </c>
    </row>
    <row r="5" spans="2:7" ht="12.75">
      <c r="B5" t="b">
        <f>AND(B2=1,B3=1)</f>
        <v>0</v>
      </c>
      <c r="D5">
        <v>0.1</v>
      </c>
      <c r="E5">
        <v>0.2</v>
      </c>
      <c r="F5">
        <v>0.3</v>
      </c>
      <c r="G5">
        <v>0.4</v>
      </c>
    </row>
    <row r="6" spans="2:3" ht="13.5" thickBot="1">
      <c r="B6" t="s">
        <v>24</v>
      </c>
      <c r="C6" t="s">
        <v>29</v>
      </c>
    </row>
    <row r="7" spans="1:7" ht="12.75">
      <c r="A7" s="7" t="s">
        <v>11</v>
      </c>
      <c r="B7" s="9">
        <v>1</v>
      </c>
      <c r="C7" s="19">
        <f>IF($B$5,$A$8/12,$A$8*($B$4-1)/($B$4^12-1))*$B$4^MOD(B7-1,12)</f>
        <v>73681.50197871908</v>
      </c>
      <c r="D7" s="19">
        <f>$C7*D$5*VLOOKUP(MOD($B7,12),$D$82:$I$93,6,FALSE)</f>
        <v>0</v>
      </c>
      <c r="E7" s="19">
        <f>$C7*E$5*VLOOKUP(MOD($B7,12),$D$82:$I$93,5,FALSE)</f>
        <v>0</v>
      </c>
      <c r="F7" s="19">
        <f>$C7*F$5*VLOOKUP(MOD($B7,12),$D$82:$I$93,4,FALSE)</f>
        <v>0</v>
      </c>
      <c r="G7" s="19">
        <f>$C7*G$5*VLOOKUP(MOD($B7,12),$D$82:$I$93,3,FALSE)</f>
        <v>1228.0250329786513</v>
      </c>
    </row>
    <row r="8" spans="1:7" ht="12.75">
      <c r="A8" s="22">
        <f>+'P &amp; L'!C7</f>
        <v>1000000</v>
      </c>
      <c r="B8" s="14">
        <v>2</v>
      </c>
      <c r="C8" s="19">
        <f aca="true" t="shared" si="0" ref="C8:C18">IF($B$5,$A$8/12,$A$8*($B$4-1)/($B$4^12-1))*$B$4^MOD(B8-1,12)</f>
        <v>75310.19109887109</v>
      </c>
      <c r="D8" s="19">
        <f aca="true" t="shared" si="1" ref="D8:D71">$C8*D$5*VLOOKUP(MOD($B8,12),$D$82:$I$93,6,FALSE)</f>
        <v>0</v>
      </c>
      <c r="E8" s="19">
        <f aca="true" t="shared" si="2" ref="E8:E71">$C8*E$5*VLOOKUP(MOD($B8,12),$D$82:$I$93,5,FALSE)</f>
        <v>0</v>
      </c>
      <c r="F8" s="19">
        <f aca="true" t="shared" si="3" ref="F8:F71">$C8*F$5*VLOOKUP(MOD($B8,12),$D$82:$I$93,4,FALSE)</f>
        <v>0</v>
      </c>
      <c r="G8" s="19">
        <f aca="true" t="shared" si="4" ref="G8:G71">$C8*G$5*VLOOKUP(MOD($B8,12),$D$82:$I$93,3,FALSE)</f>
        <v>3765.5095549435546</v>
      </c>
    </row>
    <row r="9" spans="1:7" ht="12.75">
      <c r="A9" s="12"/>
      <c r="B9" s="14">
        <v>3</v>
      </c>
      <c r="C9" s="19">
        <f t="shared" si="0"/>
        <v>76974.88149721186</v>
      </c>
      <c r="D9" s="19">
        <f t="shared" si="1"/>
        <v>0</v>
      </c>
      <c r="E9" s="19">
        <f t="shared" si="2"/>
        <v>0</v>
      </c>
      <c r="F9" s="19">
        <f t="shared" si="3"/>
        <v>0</v>
      </c>
      <c r="G9" s="19">
        <f t="shared" si="4"/>
        <v>6414.573458100989</v>
      </c>
    </row>
    <row r="10" spans="1:7" ht="12.75">
      <c r="A10" s="12"/>
      <c r="B10" s="14">
        <v>4</v>
      </c>
      <c r="C10" s="19">
        <f t="shared" si="0"/>
        <v>78676.36896221641</v>
      </c>
      <c r="D10" s="19">
        <f t="shared" si="1"/>
        <v>0</v>
      </c>
      <c r="E10" s="19">
        <f t="shared" si="2"/>
        <v>0</v>
      </c>
      <c r="F10" s="19">
        <f t="shared" si="3"/>
        <v>0</v>
      </c>
      <c r="G10" s="19">
        <f t="shared" si="4"/>
        <v>9178.909712258583</v>
      </c>
    </row>
    <row r="11" spans="1:7" ht="12.75">
      <c r="A11" s="12"/>
      <c r="B11" s="14">
        <v>5</v>
      </c>
      <c r="C11" s="19">
        <f t="shared" si="0"/>
        <v>80415.46687282683</v>
      </c>
      <c r="D11" s="19">
        <f t="shared" si="1"/>
        <v>0</v>
      </c>
      <c r="E11" s="19">
        <f t="shared" si="2"/>
        <v>0</v>
      </c>
      <c r="F11" s="19">
        <f t="shared" si="3"/>
        <v>0</v>
      </c>
      <c r="G11" s="19">
        <f t="shared" si="4"/>
        <v>12062.320030924026</v>
      </c>
    </row>
    <row r="12" spans="1:7" ht="12.75">
      <c r="A12" s="12"/>
      <c r="B12" s="14">
        <v>6</v>
      </c>
      <c r="C12" s="19">
        <f t="shared" si="0"/>
        <v>82193.00658727979</v>
      </c>
      <c r="D12" s="19">
        <f t="shared" si="1"/>
        <v>0</v>
      </c>
      <c r="E12" s="19">
        <f t="shared" si="2"/>
        <v>0</v>
      </c>
      <c r="F12" s="19">
        <f t="shared" si="3"/>
        <v>0</v>
      </c>
      <c r="G12" s="19">
        <f t="shared" si="4"/>
        <v>15068.717874334629</v>
      </c>
    </row>
    <row r="13" spans="1:7" ht="12.75">
      <c r="A13" s="12"/>
      <c r="B13" s="14">
        <v>7</v>
      </c>
      <c r="C13" s="19">
        <f t="shared" si="0"/>
        <v>84009.83784052906</v>
      </c>
      <c r="D13" s="19">
        <f t="shared" si="1"/>
        <v>0</v>
      </c>
      <c r="E13" s="19">
        <f t="shared" si="2"/>
        <v>0</v>
      </c>
      <c r="F13" s="19">
        <f t="shared" si="3"/>
        <v>2100.2459460132263</v>
      </c>
      <c r="G13" s="19">
        <f t="shared" si="4"/>
        <v>18202.13153211463</v>
      </c>
    </row>
    <row r="14" spans="1:7" ht="12.75">
      <c r="A14" s="12"/>
      <c r="B14" s="14">
        <v>8</v>
      </c>
      <c r="C14" s="19">
        <f t="shared" si="0"/>
        <v>85866.82915045273</v>
      </c>
      <c r="D14" s="19">
        <f t="shared" si="1"/>
        <v>0</v>
      </c>
      <c r="E14" s="19">
        <f t="shared" si="2"/>
        <v>0</v>
      </c>
      <c r="F14" s="19">
        <f t="shared" si="3"/>
        <v>6440.012186283954</v>
      </c>
      <c r="G14" s="19">
        <f t="shared" si="4"/>
        <v>21466.707287613186</v>
      </c>
    </row>
    <row r="15" spans="1:7" ht="12.75">
      <c r="A15" s="12"/>
      <c r="B15" s="14">
        <v>9</v>
      </c>
      <c r="C15" s="19">
        <f t="shared" si="0"/>
        <v>87764.86823303938</v>
      </c>
      <c r="D15" s="19">
        <f t="shared" si="1"/>
        <v>0</v>
      </c>
      <c r="E15" s="19">
        <f t="shared" si="2"/>
        <v>0</v>
      </c>
      <c r="F15" s="19">
        <f t="shared" si="3"/>
        <v>10970.608529129922</v>
      </c>
      <c r="G15" s="19">
        <f t="shared" si="4"/>
        <v>24866.712666027826</v>
      </c>
    </row>
    <row r="16" spans="1:7" ht="12.75">
      <c r="A16" s="12"/>
      <c r="B16" s="14">
        <v>10</v>
      </c>
      <c r="C16" s="19">
        <f t="shared" si="0"/>
        <v>89704.8624267518</v>
      </c>
      <c r="D16" s="19">
        <f t="shared" si="1"/>
        <v>0</v>
      </c>
      <c r="E16" s="19">
        <f t="shared" si="2"/>
        <v>2990.162080891727</v>
      </c>
      <c r="F16" s="19">
        <f t="shared" si="3"/>
        <v>15698.350924681567</v>
      </c>
      <c r="G16" s="19">
        <f t="shared" si="4"/>
        <v>28406.539768471404</v>
      </c>
    </row>
    <row r="17" spans="1:7" ht="12.75">
      <c r="A17" s="12" t="s">
        <v>33</v>
      </c>
      <c r="B17" s="14">
        <v>11</v>
      </c>
      <c r="C17" s="19">
        <f t="shared" si="0"/>
        <v>91687.73912627104</v>
      </c>
      <c r="D17" s="19">
        <f t="shared" si="1"/>
        <v>0</v>
      </c>
      <c r="E17" s="19">
        <f t="shared" si="2"/>
        <v>9168.773912627104</v>
      </c>
      <c r="F17" s="19">
        <f t="shared" si="3"/>
        <v>20629.741303410985</v>
      </c>
      <c r="G17" s="19">
        <f t="shared" si="4"/>
        <v>32090.708694194866</v>
      </c>
    </row>
    <row r="18" spans="1:7" ht="13.5" thickBot="1">
      <c r="A18" s="24">
        <f>SUM(D7:G18)</f>
        <v>322748.8909426004</v>
      </c>
      <c r="B18" s="11">
        <v>12</v>
      </c>
      <c r="C18" s="19">
        <f t="shared" si="0"/>
        <v>93714.44622582804</v>
      </c>
      <c r="D18" s="19">
        <f t="shared" si="1"/>
        <v>4685.722311291403</v>
      </c>
      <c r="E18" s="19">
        <f t="shared" si="2"/>
        <v>15619.074370971342</v>
      </c>
      <c r="F18" s="19">
        <f t="shared" si="3"/>
        <v>25771.472712102706</v>
      </c>
      <c r="G18" s="19">
        <f t="shared" si="4"/>
        <v>35923.871053234085</v>
      </c>
    </row>
    <row r="19" spans="1:7" ht="12.75">
      <c r="A19" s="7" t="s">
        <v>12</v>
      </c>
      <c r="B19" s="9">
        <v>13</v>
      </c>
      <c r="C19" s="19">
        <f>IF($B$5,$A$20/12,$A$20*($B$4-1)/($B$4^12-1))*$B$4^MOD(B7-1,12)</f>
        <v>95785.95257233497</v>
      </c>
      <c r="D19" s="19">
        <f t="shared" si="1"/>
        <v>0</v>
      </c>
      <c r="E19" s="19">
        <f t="shared" si="2"/>
        <v>0</v>
      </c>
      <c r="F19" s="19">
        <f t="shared" si="3"/>
        <v>0</v>
      </c>
      <c r="G19" s="19">
        <f t="shared" si="4"/>
        <v>1596.4325428722495</v>
      </c>
    </row>
    <row r="20" spans="1:7" ht="12.75">
      <c r="A20" s="22">
        <f>+A8*($B$3*$B$2)^12</f>
        <v>1300000.000000002</v>
      </c>
      <c r="B20" s="14">
        <v>14</v>
      </c>
      <c r="C20" s="19">
        <f aca="true" t="shared" si="5" ref="C20:C30">IF($B$5,$A$20/12,$A$20*($B$4-1)/($B$4^12-1))*$B$4^MOD(B8-1,12)</f>
        <v>97903.24842853258</v>
      </c>
      <c r="D20" s="19">
        <f t="shared" si="1"/>
        <v>0</v>
      </c>
      <c r="E20" s="19">
        <f t="shared" si="2"/>
        <v>0</v>
      </c>
      <c r="F20" s="19">
        <f t="shared" si="3"/>
        <v>0</v>
      </c>
      <c r="G20" s="19">
        <f t="shared" si="4"/>
        <v>4895.162421426629</v>
      </c>
    </row>
    <row r="21" spans="1:7" ht="12.75">
      <c r="A21" s="12"/>
      <c r="B21" s="14">
        <v>15</v>
      </c>
      <c r="C21" s="19">
        <f t="shared" si="5"/>
        <v>100067.34594637559</v>
      </c>
      <c r="D21" s="19">
        <f t="shared" si="1"/>
        <v>0</v>
      </c>
      <c r="E21" s="19">
        <f t="shared" si="2"/>
        <v>0</v>
      </c>
      <c r="F21" s="19">
        <f t="shared" si="3"/>
        <v>0</v>
      </c>
      <c r="G21" s="19">
        <f t="shared" si="4"/>
        <v>8338.9454955313</v>
      </c>
    </row>
    <row r="22" spans="1:7" ht="12.75">
      <c r="A22" s="12"/>
      <c r="B22" s="14">
        <v>16</v>
      </c>
      <c r="C22" s="19">
        <f t="shared" si="5"/>
        <v>102279.27965088151</v>
      </c>
      <c r="D22" s="19">
        <f t="shared" si="1"/>
        <v>0</v>
      </c>
      <c r="E22" s="19">
        <f t="shared" si="2"/>
        <v>0</v>
      </c>
      <c r="F22" s="19">
        <f t="shared" si="3"/>
        <v>0</v>
      </c>
      <c r="G22" s="19">
        <f t="shared" si="4"/>
        <v>11932.582625936177</v>
      </c>
    </row>
    <row r="23" spans="1:7" ht="12.75">
      <c r="A23" s="12"/>
      <c r="B23" s="14">
        <v>17</v>
      </c>
      <c r="C23" s="19">
        <f t="shared" si="5"/>
        <v>104540.10693467506</v>
      </c>
      <c r="D23" s="19">
        <f t="shared" si="1"/>
        <v>0</v>
      </c>
      <c r="E23" s="19">
        <f t="shared" si="2"/>
        <v>0</v>
      </c>
      <c r="F23" s="19">
        <f t="shared" si="3"/>
        <v>0</v>
      </c>
      <c r="G23" s="19">
        <f t="shared" si="4"/>
        <v>15681.016040201259</v>
      </c>
    </row>
    <row r="24" spans="1:7" ht="12.75">
      <c r="A24" s="12"/>
      <c r="B24" s="14">
        <v>18</v>
      </c>
      <c r="C24" s="19">
        <f t="shared" si="5"/>
        <v>106850.9085634639</v>
      </c>
      <c r="D24" s="19">
        <f t="shared" si="1"/>
        <v>0</v>
      </c>
      <c r="E24" s="19">
        <f t="shared" si="2"/>
        <v>0</v>
      </c>
      <c r="F24" s="19">
        <f t="shared" si="3"/>
        <v>0</v>
      </c>
      <c r="G24" s="19">
        <f t="shared" si="4"/>
        <v>19589.333236635048</v>
      </c>
    </row>
    <row r="25" spans="1:7" ht="12.75">
      <c r="A25" s="12"/>
      <c r="B25" s="14">
        <v>19</v>
      </c>
      <c r="C25" s="19">
        <f t="shared" si="5"/>
        <v>109212.78919268795</v>
      </c>
      <c r="D25" s="19">
        <f t="shared" si="1"/>
        <v>0</v>
      </c>
      <c r="E25" s="19">
        <f t="shared" si="2"/>
        <v>0</v>
      </c>
      <c r="F25" s="19">
        <f t="shared" si="3"/>
        <v>2730.3197298171985</v>
      </c>
      <c r="G25" s="19">
        <f t="shared" si="4"/>
        <v>23662.770991749057</v>
      </c>
    </row>
    <row r="26" spans="1:7" ht="12.75">
      <c r="A26" s="12"/>
      <c r="B26" s="14">
        <v>20</v>
      </c>
      <c r="C26" s="19">
        <f t="shared" si="5"/>
        <v>111626.87789558872</v>
      </c>
      <c r="D26" s="19">
        <f t="shared" si="1"/>
        <v>0</v>
      </c>
      <c r="E26" s="19">
        <f t="shared" si="2"/>
        <v>0</v>
      </c>
      <c r="F26" s="19">
        <f t="shared" si="3"/>
        <v>8372.015842169154</v>
      </c>
      <c r="G26" s="19">
        <f t="shared" si="4"/>
        <v>27906.71947389718</v>
      </c>
    </row>
    <row r="27" spans="1:7" ht="12.75">
      <c r="A27" s="12"/>
      <c r="B27" s="14">
        <v>21</v>
      </c>
      <c r="C27" s="19">
        <f t="shared" si="5"/>
        <v>114094.32870295137</v>
      </c>
      <c r="D27" s="19">
        <f t="shared" si="1"/>
        <v>0</v>
      </c>
      <c r="E27" s="19">
        <f t="shared" si="2"/>
        <v>0</v>
      </c>
      <c r="F27" s="19">
        <f t="shared" si="3"/>
        <v>14261.791087868922</v>
      </c>
      <c r="G27" s="19">
        <f t="shared" si="4"/>
        <v>32326.72646583623</v>
      </c>
    </row>
    <row r="28" spans="1:7" ht="12.75">
      <c r="A28" s="12"/>
      <c r="B28" s="14">
        <v>22</v>
      </c>
      <c r="C28" s="19">
        <f t="shared" si="5"/>
        <v>116616.32115477754</v>
      </c>
      <c r="D28" s="19">
        <f t="shared" si="1"/>
        <v>0</v>
      </c>
      <c r="E28" s="19">
        <f t="shared" si="2"/>
        <v>3887.210705159251</v>
      </c>
      <c r="F28" s="19">
        <f t="shared" si="3"/>
        <v>20407.85620208607</v>
      </c>
      <c r="G28" s="19">
        <f t="shared" si="4"/>
        <v>36928.501699012886</v>
      </c>
    </row>
    <row r="29" spans="1:7" ht="12.75">
      <c r="A29" s="12" t="s">
        <v>33</v>
      </c>
      <c r="B29" s="14">
        <v>23</v>
      </c>
      <c r="C29" s="19">
        <f t="shared" si="5"/>
        <v>119194.06086415256</v>
      </c>
      <c r="D29" s="19">
        <f t="shared" si="1"/>
        <v>0</v>
      </c>
      <c r="E29" s="19">
        <f t="shared" si="2"/>
        <v>11919.406086415256</v>
      </c>
      <c r="F29" s="19">
        <f t="shared" si="3"/>
        <v>26818.663694434326</v>
      </c>
      <c r="G29" s="19">
        <f t="shared" si="4"/>
        <v>41717.9213024534</v>
      </c>
    </row>
    <row r="30" spans="1:7" ht="13.5" thickBot="1">
      <c r="A30" s="24">
        <f>SUM(D19:G30)</f>
        <v>419573.5582253812</v>
      </c>
      <c r="B30" s="11">
        <v>24</v>
      </c>
      <c r="C30" s="19">
        <f t="shared" si="5"/>
        <v>121828.78009357666</v>
      </c>
      <c r="D30" s="19">
        <f t="shared" si="1"/>
        <v>6091.439004678833</v>
      </c>
      <c r="E30" s="19">
        <f t="shared" si="2"/>
        <v>20304.79668226278</v>
      </c>
      <c r="F30" s="19">
        <f t="shared" si="3"/>
        <v>33502.91452573358</v>
      </c>
      <c r="G30" s="19">
        <f t="shared" si="4"/>
        <v>46701.03236920439</v>
      </c>
    </row>
    <row r="31" spans="1:7" ht="12.75">
      <c r="A31" s="7" t="s">
        <v>13</v>
      </c>
      <c r="B31" s="9">
        <v>25</v>
      </c>
      <c r="C31" s="19">
        <f>IF($B$5,$A$32/12,$A$32*($B$4-1)/($B$4^12-1))*$B$4^MOD(B7-1,12)</f>
        <v>124521.73834403565</v>
      </c>
      <c r="D31" s="19">
        <f t="shared" si="1"/>
        <v>0</v>
      </c>
      <c r="E31" s="19">
        <f t="shared" si="2"/>
        <v>0</v>
      </c>
      <c r="F31" s="19">
        <f t="shared" si="3"/>
        <v>0</v>
      </c>
      <c r="G31" s="19">
        <f t="shared" si="4"/>
        <v>2075.3623057339273</v>
      </c>
    </row>
    <row r="32" spans="1:7" ht="12.75">
      <c r="A32" s="22">
        <f>+A20*($B$3*$B$2)^12</f>
        <v>1690000.0000000054</v>
      </c>
      <c r="B32" s="14">
        <v>26</v>
      </c>
      <c r="C32" s="19">
        <f aca="true" t="shared" si="6" ref="C32:C42">IF($B$5,$A$32/12,$A$32*($B$4-1)/($B$4^12-1))*$B$4^MOD(B8-1,12)</f>
        <v>127274.22295709256</v>
      </c>
      <c r="D32" s="19">
        <f t="shared" si="1"/>
        <v>0</v>
      </c>
      <c r="E32" s="19">
        <f t="shared" si="2"/>
        <v>0</v>
      </c>
      <c r="F32" s="19">
        <f t="shared" si="3"/>
        <v>0</v>
      </c>
      <c r="G32" s="19">
        <f t="shared" si="4"/>
        <v>6363.7111478546285</v>
      </c>
    </row>
    <row r="33" spans="1:7" ht="12.75">
      <c r="A33" s="12"/>
      <c r="B33" s="14">
        <v>27</v>
      </c>
      <c r="C33" s="19">
        <f t="shared" si="6"/>
        <v>130087.54973028846</v>
      </c>
      <c r="D33" s="19">
        <f t="shared" si="1"/>
        <v>0</v>
      </c>
      <c r="E33" s="19">
        <f t="shared" si="2"/>
        <v>0</v>
      </c>
      <c r="F33" s="19">
        <f t="shared" si="3"/>
        <v>0</v>
      </c>
      <c r="G33" s="19">
        <f t="shared" si="4"/>
        <v>10840.629144190705</v>
      </c>
    </row>
    <row r="34" spans="1:7" ht="12.75">
      <c r="A34" s="12"/>
      <c r="B34" s="14">
        <v>28</v>
      </c>
      <c r="C34" s="19">
        <f t="shared" si="6"/>
        <v>132963.06354614618</v>
      </c>
      <c r="D34" s="19">
        <f t="shared" si="1"/>
        <v>0</v>
      </c>
      <c r="E34" s="19">
        <f t="shared" si="2"/>
        <v>0</v>
      </c>
      <c r="F34" s="19">
        <f t="shared" si="3"/>
        <v>0</v>
      </c>
      <c r="G34" s="19">
        <f t="shared" si="4"/>
        <v>15512.357413717056</v>
      </c>
    </row>
    <row r="35" spans="1:7" ht="12.75">
      <c r="A35" s="12"/>
      <c r="B35" s="14">
        <v>29</v>
      </c>
      <c r="C35" s="19">
        <f t="shared" si="6"/>
        <v>135902.1390150778</v>
      </c>
      <c r="D35" s="19">
        <f t="shared" si="1"/>
        <v>0</v>
      </c>
      <c r="E35" s="19">
        <f t="shared" si="2"/>
        <v>0</v>
      </c>
      <c r="F35" s="19">
        <f t="shared" si="3"/>
        <v>0</v>
      </c>
      <c r="G35" s="19">
        <f t="shared" si="4"/>
        <v>20385.32085226167</v>
      </c>
    </row>
    <row r="36" spans="1:7" ht="12.75">
      <c r="A36" s="12"/>
      <c r="B36" s="14">
        <v>30</v>
      </c>
      <c r="C36" s="19">
        <f t="shared" si="6"/>
        <v>138906.1811325033</v>
      </c>
      <c r="D36" s="19">
        <f t="shared" si="1"/>
        <v>0</v>
      </c>
      <c r="E36" s="19">
        <f t="shared" si="2"/>
        <v>0</v>
      </c>
      <c r="F36" s="19">
        <f t="shared" si="3"/>
        <v>0</v>
      </c>
      <c r="G36" s="19">
        <f t="shared" si="4"/>
        <v>25466.133207625604</v>
      </c>
    </row>
    <row r="37" spans="1:7" ht="12.75">
      <c r="A37" s="12"/>
      <c r="B37" s="14">
        <v>31</v>
      </c>
      <c r="C37" s="19">
        <f t="shared" si="6"/>
        <v>141976.62595049458</v>
      </c>
      <c r="D37" s="19">
        <f t="shared" si="1"/>
        <v>0</v>
      </c>
      <c r="E37" s="19">
        <f t="shared" si="2"/>
        <v>0</v>
      </c>
      <c r="F37" s="19">
        <f t="shared" si="3"/>
        <v>3549.415648762364</v>
      </c>
      <c r="G37" s="19">
        <f t="shared" si="4"/>
        <v>30761.602289273826</v>
      </c>
    </row>
    <row r="38" spans="1:7" ht="12.75">
      <c r="A38" s="12"/>
      <c r="B38" s="14">
        <v>32</v>
      </c>
      <c r="C38" s="19">
        <f t="shared" si="6"/>
        <v>145114.94126426557</v>
      </c>
      <c r="D38" s="19">
        <f t="shared" si="1"/>
        <v>0</v>
      </c>
      <c r="E38" s="19">
        <f t="shared" si="2"/>
        <v>0</v>
      </c>
      <c r="F38" s="19">
        <f t="shared" si="3"/>
        <v>10883.620594819917</v>
      </c>
      <c r="G38" s="19">
        <f t="shared" si="4"/>
        <v>36278.73531606639</v>
      </c>
    </row>
    <row r="39" spans="1:7" ht="12.75">
      <c r="A39" s="12"/>
      <c r="B39" s="14">
        <v>33</v>
      </c>
      <c r="C39" s="19">
        <f t="shared" si="6"/>
        <v>148322.62731383703</v>
      </c>
      <c r="D39" s="19">
        <f t="shared" si="1"/>
        <v>0</v>
      </c>
      <c r="E39" s="19">
        <f t="shared" si="2"/>
        <v>0</v>
      </c>
      <c r="F39" s="19">
        <f t="shared" si="3"/>
        <v>18540.32841422963</v>
      </c>
      <c r="G39" s="19">
        <f t="shared" si="4"/>
        <v>42024.74440558716</v>
      </c>
    </row>
    <row r="40" spans="1:7" ht="12.75">
      <c r="A40" s="12"/>
      <c r="B40" s="14">
        <v>34</v>
      </c>
      <c r="C40" s="19">
        <f t="shared" si="6"/>
        <v>151601.21750121104</v>
      </c>
      <c r="D40" s="19">
        <f t="shared" si="1"/>
        <v>0</v>
      </c>
      <c r="E40" s="19">
        <f t="shared" si="2"/>
        <v>5053.373916707034</v>
      </c>
      <c r="F40" s="19">
        <f t="shared" si="3"/>
        <v>26530.213062711933</v>
      </c>
      <c r="G40" s="19">
        <f t="shared" si="4"/>
        <v>48007.05220871683</v>
      </c>
    </row>
    <row r="41" spans="1:7" ht="12.75">
      <c r="A41" s="12" t="s">
        <v>33</v>
      </c>
      <c r="B41" s="14">
        <v>35</v>
      </c>
      <c r="C41" s="19">
        <f t="shared" si="6"/>
        <v>154952.27912339856</v>
      </c>
      <c r="D41" s="19">
        <f t="shared" si="1"/>
        <v>0</v>
      </c>
      <c r="E41" s="19">
        <f t="shared" si="2"/>
        <v>15495.227912339857</v>
      </c>
      <c r="F41" s="19">
        <f t="shared" si="3"/>
        <v>34864.26280276467</v>
      </c>
      <c r="G41" s="19">
        <f t="shared" si="4"/>
        <v>54233.297693189495</v>
      </c>
    </row>
    <row r="42" spans="1:7" ht="13.5" thickBot="1">
      <c r="A42" s="24">
        <f>SUM(D31:G42)</f>
        <v>545445.6256929963</v>
      </c>
      <c r="B42" s="11">
        <v>36</v>
      </c>
      <c r="C42" s="19">
        <f t="shared" si="6"/>
        <v>158377.4141216499</v>
      </c>
      <c r="D42" s="19">
        <f t="shared" si="1"/>
        <v>7918.870706082495</v>
      </c>
      <c r="E42" s="19">
        <f t="shared" si="2"/>
        <v>26396.23568694165</v>
      </c>
      <c r="F42" s="19">
        <f t="shared" si="3"/>
        <v>43553.78888345372</v>
      </c>
      <c r="G42" s="19">
        <f t="shared" si="4"/>
        <v>60711.3420799658</v>
      </c>
    </row>
    <row r="43" spans="1:7" ht="12.75">
      <c r="A43" s="7" t="s">
        <v>14</v>
      </c>
      <c r="B43" s="9">
        <v>37</v>
      </c>
      <c r="C43" s="19">
        <f>IF($B$5,$A$44/12,$A$44*($B$4-1)/($B$4^12-1))*$B$4^MOD(B7-1,12)</f>
        <v>161878.25984724658</v>
      </c>
      <c r="D43" s="19">
        <f t="shared" si="1"/>
        <v>0</v>
      </c>
      <c r="E43" s="19">
        <f t="shared" si="2"/>
        <v>0</v>
      </c>
      <c r="F43" s="19">
        <f t="shared" si="3"/>
        <v>0</v>
      </c>
      <c r="G43" s="19">
        <f t="shared" si="4"/>
        <v>2697.9709974541097</v>
      </c>
    </row>
    <row r="44" spans="1:7" ht="12.75">
      <c r="A44" s="22">
        <f>+A32*($B$3*$B$2)^12</f>
        <v>2197000.0000000102</v>
      </c>
      <c r="B44" s="14">
        <v>38</v>
      </c>
      <c r="C44" s="19">
        <f aca="true" t="shared" si="7" ref="C44:C54">IF($B$5,$A$44/12,$A$44*($B$4-1)/($B$4^12-1))*$B$4^MOD(B8-1,12)</f>
        <v>165456.48984422054</v>
      </c>
      <c r="D44" s="19">
        <f t="shared" si="1"/>
        <v>0</v>
      </c>
      <c r="E44" s="19">
        <f t="shared" si="2"/>
        <v>0</v>
      </c>
      <c r="F44" s="19">
        <f t="shared" si="3"/>
        <v>0</v>
      </c>
      <c r="G44" s="19">
        <f t="shared" si="4"/>
        <v>8272.824492211028</v>
      </c>
    </row>
    <row r="45" spans="1:7" ht="12.75">
      <c r="A45" s="12"/>
      <c r="B45" s="14">
        <v>39</v>
      </c>
      <c r="C45" s="19">
        <f t="shared" si="7"/>
        <v>169113.81464937524</v>
      </c>
      <c r="D45" s="19">
        <f t="shared" si="1"/>
        <v>0</v>
      </c>
      <c r="E45" s="19">
        <f t="shared" si="2"/>
        <v>0</v>
      </c>
      <c r="F45" s="19">
        <f t="shared" si="3"/>
        <v>0</v>
      </c>
      <c r="G45" s="19">
        <f t="shared" si="4"/>
        <v>14092.817887447936</v>
      </c>
    </row>
    <row r="46" spans="1:7" ht="12.75">
      <c r="A46" s="12"/>
      <c r="B46" s="14">
        <v>40</v>
      </c>
      <c r="C46" s="19">
        <f t="shared" si="7"/>
        <v>172851.98260999026</v>
      </c>
      <c r="D46" s="19">
        <f t="shared" si="1"/>
        <v>0</v>
      </c>
      <c r="E46" s="19">
        <f t="shared" si="2"/>
        <v>0</v>
      </c>
      <c r="F46" s="19">
        <f t="shared" si="3"/>
        <v>0</v>
      </c>
      <c r="G46" s="19">
        <f t="shared" si="4"/>
        <v>20166.064637832198</v>
      </c>
    </row>
    <row r="47" spans="1:7" ht="12.75">
      <c r="A47" s="12"/>
      <c r="B47" s="14">
        <v>41</v>
      </c>
      <c r="C47" s="19">
        <f t="shared" si="7"/>
        <v>176672.78071960137</v>
      </c>
      <c r="D47" s="19">
        <f t="shared" si="1"/>
        <v>0</v>
      </c>
      <c r="E47" s="19">
        <f t="shared" si="2"/>
        <v>0</v>
      </c>
      <c r="F47" s="19">
        <f t="shared" si="3"/>
        <v>0</v>
      </c>
      <c r="G47" s="19">
        <f t="shared" si="4"/>
        <v>26500.917107940208</v>
      </c>
    </row>
    <row r="48" spans="1:7" ht="12.75">
      <c r="A48" s="12"/>
      <c r="B48" s="14">
        <v>42</v>
      </c>
      <c r="C48" s="19">
        <f t="shared" si="7"/>
        <v>180578.03547225453</v>
      </c>
      <c r="D48" s="19">
        <f t="shared" si="1"/>
        <v>0</v>
      </c>
      <c r="E48" s="19">
        <f t="shared" si="2"/>
        <v>0</v>
      </c>
      <c r="F48" s="19">
        <f t="shared" si="3"/>
        <v>0</v>
      </c>
      <c r="G48" s="19">
        <f t="shared" si="4"/>
        <v>33105.973169913326</v>
      </c>
    </row>
    <row r="49" spans="1:7" ht="12.75">
      <c r="A49" s="12"/>
      <c r="B49" s="14">
        <v>43</v>
      </c>
      <c r="C49" s="19">
        <f t="shared" si="7"/>
        <v>184569.61373564322</v>
      </c>
      <c r="D49" s="19">
        <f t="shared" si="1"/>
        <v>0</v>
      </c>
      <c r="E49" s="19">
        <f t="shared" si="2"/>
        <v>0</v>
      </c>
      <c r="F49" s="19">
        <f t="shared" si="3"/>
        <v>4614.24034339108</v>
      </c>
      <c r="G49" s="19">
        <f t="shared" si="4"/>
        <v>39990.08297605603</v>
      </c>
    </row>
    <row r="50" spans="1:7" ht="12.75">
      <c r="A50" s="12"/>
      <c r="B50" s="14">
        <v>44</v>
      </c>
      <c r="C50" s="19">
        <f t="shared" si="7"/>
        <v>188649.4236435455</v>
      </c>
      <c r="D50" s="19">
        <f t="shared" si="1"/>
        <v>0</v>
      </c>
      <c r="E50" s="19">
        <f t="shared" si="2"/>
        <v>0</v>
      </c>
      <c r="F50" s="19">
        <f t="shared" si="3"/>
        <v>14148.706773265912</v>
      </c>
      <c r="G50" s="19">
        <f t="shared" si="4"/>
        <v>47162.355910886385</v>
      </c>
    </row>
    <row r="51" spans="1:7" ht="12.75">
      <c r="A51" s="12"/>
      <c r="B51" s="14">
        <v>45</v>
      </c>
      <c r="C51" s="19">
        <f t="shared" si="7"/>
        <v>192819.4155079884</v>
      </c>
      <c r="D51" s="19">
        <f t="shared" si="1"/>
        <v>0</v>
      </c>
      <c r="E51" s="19">
        <f t="shared" si="2"/>
        <v>0</v>
      </c>
      <c r="F51" s="19">
        <f t="shared" si="3"/>
        <v>24102.42693849855</v>
      </c>
      <c r="G51" s="19">
        <f t="shared" si="4"/>
        <v>54632.16772726339</v>
      </c>
    </row>
    <row r="52" spans="1:7" ht="12.75">
      <c r="A52" s="12"/>
      <c r="B52" s="14">
        <v>46</v>
      </c>
      <c r="C52" s="19">
        <f t="shared" si="7"/>
        <v>197081.58275157464</v>
      </c>
      <c r="D52" s="19">
        <f t="shared" si="1"/>
        <v>0</v>
      </c>
      <c r="E52" s="19">
        <f t="shared" si="2"/>
        <v>6569.386091719154</v>
      </c>
      <c r="F52" s="19">
        <f t="shared" si="3"/>
        <v>34489.27698152556</v>
      </c>
      <c r="G52" s="19">
        <f t="shared" si="4"/>
        <v>62409.16787133197</v>
      </c>
    </row>
    <row r="53" spans="1:7" ht="12.75">
      <c r="A53" s="12" t="s">
        <v>33</v>
      </c>
      <c r="B53" s="14">
        <v>47</v>
      </c>
      <c r="C53" s="19">
        <f t="shared" si="7"/>
        <v>201437.96286041843</v>
      </c>
      <c r="D53" s="19">
        <f t="shared" si="1"/>
        <v>0</v>
      </c>
      <c r="E53" s="19">
        <f t="shared" si="2"/>
        <v>20143.796286041845</v>
      </c>
      <c r="F53" s="19">
        <f t="shared" si="3"/>
        <v>45323.541643594144</v>
      </c>
      <c r="G53" s="19">
        <f t="shared" si="4"/>
        <v>70503.28700114645</v>
      </c>
    </row>
    <row r="54" spans="1:7" ht="13.5" thickBot="1">
      <c r="A54" s="24">
        <f>SUM(D43:G54)</f>
        <v>709079.3134008963</v>
      </c>
      <c r="B54" s="11">
        <v>48</v>
      </c>
      <c r="C54" s="19">
        <f t="shared" si="7"/>
        <v>205890.63835814517</v>
      </c>
      <c r="D54" s="19">
        <f t="shared" si="1"/>
        <v>10294.53191790726</v>
      </c>
      <c r="E54" s="19">
        <f t="shared" si="2"/>
        <v>34315.1063930242</v>
      </c>
      <c r="F54" s="19">
        <f t="shared" si="3"/>
        <v>56619.92554848991</v>
      </c>
      <c r="G54" s="19">
        <f t="shared" si="4"/>
        <v>78924.74470395566</v>
      </c>
    </row>
    <row r="55" spans="1:7" ht="12.75">
      <c r="A55" s="7" t="s">
        <v>15</v>
      </c>
      <c r="B55" s="9">
        <v>49</v>
      </c>
      <c r="C55" s="19">
        <f>IF($B$5,$A$56/12,$A$56*($B$4-1)/($B$4^12-1))*$B$4^MOD(B7-1,12)</f>
        <v>210441.73780142088</v>
      </c>
      <c r="D55" s="19">
        <f t="shared" si="1"/>
        <v>0</v>
      </c>
      <c r="E55" s="19">
        <f t="shared" si="2"/>
        <v>0</v>
      </c>
      <c r="F55" s="19">
        <f t="shared" si="3"/>
        <v>0</v>
      </c>
      <c r="G55" s="19">
        <f t="shared" si="4"/>
        <v>3507.362296690348</v>
      </c>
    </row>
    <row r="56" spans="1:7" ht="12.75">
      <c r="A56" s="22">
        <f>+A44*($B$3*$B$2)^12</f>
        <v>2856100.0000000177</v>
      </c>
      <c r="B56" s="14">
        <v>50</v>
      </c>
      <c r="C56" s="19">
        <f aca="true" t="shared" si="8" ref="C56:C66">IF($B$5,$A$56/12,$A$56*($B$4-1)/($B$4^12-1))*$B$4^MOD(B8-1,12)</f>
        <v>215093.43679748705</v>
      </c>
      <c r="D56" s="19">
        <f t="shared" si="1"/>
        <v>0</v>
      </c>
      <c r="E56" s="19">
        <f t="shared" si="2"/>
        <v>0</v>
      </c>
      <c r="F56" s="19">
        <f t="shared" si="3"/>
        <v>0</v>
      </c>
      <c r="G56" s="19">
        <f t="shared" si="4"/>
        <v>10754.671839874354</v>
      </c>
    </row>
    <row r="57" spans="1:7" ht="12.75">
      <c r="A57" s="12"/>
      <c r="B57" s="14">
        <v>51</v>
      </c>
      <c r="C57" s="19">
        <f t="shared" si="8"/>
        <v>219847.95904418817</v>
      </c>
      <c r="D57" s="19">
        <f t="shared" si="1"/>
        <v>0</v>
      </c>
      <c r="E57" s="19">
        <f t="shared" si="2"/>
        <v>0</v>
      </c>
      <c r="F57" s="19">
        <f t="shared" si="3"/>
        <v>0</v>
      </c>
      <c r="G57" s="19">
        <f t="shared" si="4"/>
        <v>18320.66325368235</v>
      </c>
    </row>
    <row r="58" spans="1:7" ht="12.75">
      <c r="A58" s="12"/>
      <c r="B58" s="14">
        <v>52</v>
      </c>
      <c r="C58" s="19">
        <f t="shared" si="8"/>
        <v>224707.5773929877</v>
      </c>
      <c r="D58" s="19">
        <f t="shared" si="1"/>
        <v>0</v>
      </c>
      <c r="E58" s="19">
        <f t="shared" si="2"/>
        <v>0</v>
      </c>
      <c r="F58" s="19">
        <f t="shared" si="3"/>
        <v>0</v>
      </c>
      <c r="G58" s="19">
        <f t="shared" si="4"/>
        <v>26215.884029181903</v>
      </c>
    </row>
    <row r="59" spans="1:7" ht="12.75">
      <c r="A59" s="12"/>
      <c r="B59" s="14">
        <v>53</v>
      </c>
      <c r="C59" s="19">
        <f t="shared" si="8"/>
        <v>229674.61493548215</v>
      </c>
      <c r="D59" s="19">
        <f t="shared" si="1"/>
        <v>0</v>
      </c>
      <c r="E59" s="19">
        <f t="shared" si="2"/>
        <v>0</v>
      </c>
      <c r="F59" s="19">
        <f t="shared" si="3"/>
        <v>0</v>
      </c>
      <c r="G59" s="19">
        <f t="shared" si="4"/>
        <v>34451.19224032233</v>
      </c>
    </row>
    <row r="60" spans="1:7" ht="12.75">
      <c r="A60" s="12"/>
      <c r="B60" s="14">
        <v>54</v>
      </c>
      <c r="C60" s="19">
        <f t="shared" si="8"/>
        <v>234751.44611393128</v>
      </c>
      <c r="D60" s="19">
        <f t="shared" si="1"/>
        <v>0</v>
      </c>
      <c r="E60" s="19">
        <f t="shared" si="2"/>
        <v>0</v>
      </c>
      <c r="F60" s="19">
        <f t="shared" si="3"/>
        <v>0</v>
      </c>
      <c r="G60" s="19">
        <f t="shared" si="4"/>
        <v>43037.7651208874</v>
      </c>
    </row>
    <row r="61" spans="1:7" ht="12.75">
      <c r="A61" s="12"/>
      <c r="B61" s="14">
        <v>55</v>
      </c>
      <c r="C61" s="19">
        <f t="shared" si="8"/>
        <v>239940.49785633653</v>
      </c>
      <c r="D61" s="19">
        <f t="shared" si="1"/>
        <v>0</v>
      </c>
      <c r="E61" s="19">
        <f t="shared" si="2"/>
        <v>0</v>
      </c>
      <c r="F61" s="19">
        <f t="shared" si="3"/>
        <v>5998.512446408413</v>
      </c>
      <c r="G61" s="19">
        <f t="shared" si="4"/>
        <v>51987.10786887292</v>
      </c>
    </row>
    <row r="62" spans="1:7" ht="12.75">
      <c r="A62" s="12"/>
      <c r="B62" s="14">
        <v>56</v>
      </c>
      <c r="C62" s="19">
        <f t="shared" si="8"/>
        <v>245244.25073660954</v>
      </c>
      <c r="D62" s="19">
        <f t="shared" si="1"/>
        <v>0</v>
      </c>
      <c r="E62" s="19">
        <f t="shared" si="2"/>
        <v>0</v>
      </c>
      <c r="F62" s="19">
        <f t="shared" si="3"/>
        <v>18393.318805245715</v>
      </c>
      <c r="G62" s="19">
        <f t="shared" si="4"/>
        <v>61311.062684152384</v>
      </c>
    </row>
    <row r="63" spans="1:7" ht="12.75">
      <c r="A63" s="12"/>
      <c r="B63" s="14">
        <v>57</v>
      </c>
      <c r="C63" s="19">
        <f t="shared" si="8"/>
        <v>250665.24016038532</v>
      </c>
      <c r="D63" s="19">
        <f t="shared" si="1"/>
        <v>0</v>
      </c>
      <c r="E63" s="19">
        <f t="shared" si="2"/>
        <v>0</v>
      </c>
      <c r="F63" s="19">
        <f t="shared" si="3"/>
        <v>31333.15502004816</v>
      </c>
      <c r="G63" s="19">
        <f t="shared" si="4"/>
        <v>71021.81804544252</v>
      </c>
    </row>
    <row r="64" spans="1:7" ht="12.75">
      <c r="A64" s="12"/>
      <c r="B64" s="14">
        <v>58</v>
      </c>
      <c r="C64" s="19">
        <f t="shared" si="8"/>
        <v>256206.0575770474</v>
      </c>
      <c r="D64" s="19">
        <f t="shared" si="1"/>
        <v>0</v>
      </c>
      <c r="E64" s="19">
        <f t="shared" si="2"/>
        <v>8540.201919234914</v>
      </c>
      <c r="F64" s="19">
        <f t="shared" si="3"/>
        <v>44836.0600759833</v>
      </c>
      <c r="G64" s="19">
        <f t="shared" si="4"/>
        <v>81131.91823273168</v>
      </c>
    </row>
    <row r="65" spans="1:7" ht="12.75">
      <c r="A65" s="12" t="s">
        <v>33</v>
      </c>
      <c r="B65" s="14">
        <v>59</v>
      </c>
      <c r="C65" s="19">
        <f t="shared" si="8"/>
        <v>261869.35171854435</v>
      </c>
      <c r="D65" s="19">
        <f t="shared" si="1"/>
        <v>0</v>
      </c>
      <c r="E65" s="19">
        <f t="shared" si="2"/>
        <v>26186.935171854435</v>
      </c>
      <c r="F65" s="19">
        <f t="shared" si="3"/>
        <v>58920.60413667248</v>
      </c>
      <c r="G65" s="19">
        <f t="shared" si="4"/>
        <v>91654.27310149051</v>
      </c>
    </row>
    <row r="66" spans="1:7" ht="13.5" thickBot="1">
      <c r="A66" s="24">
        <f>SUM(D55:G66)</f>
        <v>921803.1074211667</v>
      </c>
      <c r="B66" s="11">
        <v>60</v>
      </c>
      <c r="C66" s="19">
        <f t="shared" si="8"/>
        <v>267657.82986558916</v>
      </c>
      <c r="D66" s="19">
        <f t="shared" si="1"/>
        <v>13382.891493279458</v>
      </c>
      <c r="E66" s="19">
        <f t="shared" si="2"/>
        <v>44609.63831093153</v>
      </c>
      <c r="F66" s="19">
        <f t="shared" si="3"/>
        <v>73605.90321303702</v>
      </c>
      <c r="G66" s="19">
        <f t="shared" si="4"/>
        <v>102602.16811514251</v>
      </c>
    </row>
    <row r="67" spans="1:7" ht="12.75">
      <c r="A67" s="7" t="s">
        <v>16</v>
      </c>
      <c r="B67" s="9">
        <v>61</v>
      </c>
      <c r="C67" s="19">
        <f>IF($B$5,$A$68/12,$A$68*($B$4-1)/($B$4^12-1))*$B$4^MOD(B7-1,12)</f>
        <v>273574.2591418476</v>
      </c>
      <c r="D67" s="19">
        <f t="shared" si="1"/>
        <v>0</v>
      </c>
      <c r="E67" s="19">
        <f t="shared" si="2"/>
        <v>0</v>
      </c>
      <c r="F67" s="19">
        <f t="shared" si="3"/>
        <v>0</v>
      </c>
      <c r="G67" s="19">
        <f t="shared" si="4"/>
        <v>4559.57098569746</v>
      </c>
    </row>
    <row r="68" spans="1:7" ht="12.75">
      <c r="A68" s="22">
        <f>+A56*($B$3*$B$2)^12</f>
        <v>3712930.000000029</v>
      </c>
      <c r="B68" s="14">
        <v>62</v>
      </c>
      <c r="C68" s="19">
        <f aca="true" t="shared" si="9" ref="C68:C78">IF($B$5,$A$68/12,$A$68*($B$4-1)/($B$4^12-1))*$B$4^MOD(B8-1,12)</f>
        <v>279621.4678367336</v>
      </c>
      <c r="D68" s="19">
        <f t="shared" si="1"/>
        <v>0</v>
      </c>
      <c r="E68" s="19">
        <f t="shared" si="2"/>
        <v>0</v>
      </c>
      <c r="F68" s="19">
        <f t="shared" si="3"/>
        <v>0</v>
      </c>
      <c r="G68" s="19">
        <f t="shared" si="4"/>
        <v>13981.073391836682</v>
      </c>
    </row>
    <row r="69" spans="1:7" ht="12.75">
      <c r="A69" s="12"/>
      <c r="B69" s="14">
        <v>63</v>
      </c>
      <c r="C69" s="19">
        <f t="shared" si="9"/>
        <v>285802.3467574451</v>
      </c>
      <c r="D69" s="19">
        <f t="shared" si="1"/>
        <v>0</v>
      </c>
      <c r="E69" s="19">
        <f t="shared" si="2"/>
        <v>0</v>
      </c>
      <c r="F69" s="19">
        <f t="shared" si="3"/>
        <v>0</v>
      </c>
      <c r="G69" s="19">
        <f t="shared" si="4"/>
        <v>23816.86222978709</v>
      </c>
    </row>
    <row r="70" spans="1:7" ht="12.75">
      <c r="A70" s="12"/>
      <c r="B70" s="14">
        <v>64</v>
      </c>
      <c r="C70" s="19">
        <f t="shared" si="9"/>
        <v>292119.8506108845</v>
      </c>
      <c r="D70" s="19">
        <f t="shared" si="1"/>
        <v>0</v>
      </c>
      <c r="E70" s="19">
        <f t="shared" si="2"/>
        <v>0</v>
      </c>
      <c r="F70" s="19">
        <f t="shared" si="3"/>
        <v>0</v>
      </c>
      <c r="G70" s="19">
        <f t="shared" si="4"/>
        <v>34080.64923793653</v>
      </c>
    </row>
    <row r="71" spans="1:7" ht="12.75">
      <c r="A71" s="12"/>
      <c r="B71" s="14">
        <v>65</v>
      </c>
      <c r="C71" s="19">
        <f t="shared" si="9"/>
        <v>298576.9994161273</v>
      </c>
      <c r="D71" s="19">
        <f t="shared" si="1"/>
        <v>0</v>
      </c>
      <c r="E71" s="19">
        <f t="shared" si="2"/>
        <v>0</v>
      </c>
      <c r="F71" s="19">
        <f t="shared" si="3"/>
        <v>0</v>
      </c>
      <c r="G71" s="19">
        <f t="shared" si="4"/>
        <v>44786.5499124191</v>
      </c>
    </row>
    <row r="72" spans="1:7" ht="12.75">
      <c r="A72" s="12"/>
      <c r="B72" s="14">
        <v>66</v>
      </c>
      <c r="C72" s="19">
        <f t="shared" si="9"/>
        <v>305176.87994811113</v>
      </c>
      <c r="D72" s="19">
        <f aca="true" t="shared" si="10" ref="D72:D78">$C72*D$5*VLOOKUP(MOD($B72,12),$D$82:$I$93,6,FALSE)</f>
        <v>0</v>
      </c>
      <c r="E72" s="19">
        <f aca="true" t="shared" si="11" ref="E72:E78">$C72*E$5*VLOOKUP(MOD($B72,12),$D$82:$I$93,5,FALSE)</f>
        <v>0</v>
      </c>
      <c r="F72" s="19">
        <f aca="true" t="shared" si="12" ref="F72:F78">$C72*F$5*VLOOKUP(MOD($B72,12),$D$82:$I$93,4,FALSE)</f>
        <v>0</v>
      </c>
      <c r="G72" s="19">
        <f aca="true" t="shared" si="13" ref="G72:G78">$C72*G$5*VLOOKUP(MOD($B72,12),$D$82:$I$93,3,FALSE)</f>
        <v>55949.09465715371</v>
      </c>
    </row>
    <row r="73" spans="1:7" ht="12.75">
      <c r="A73" s="12"/>
      <c r="B73" s="14">
        <v>67</v>
      </c>
      <c r="C73" s="19">
        <f t="shared" si="9"/>
        <v>311922.64721323806</v>
      </c>
      <c r="D73" s="19">
        <f t="shared" si="10"/>
        <v>0</v>
      </c>
      <c r="E73" s="19">
        <f t="shared" si="11"/>
        <v>0</v>
      </c>
      <c r="F73" s="19">
        <f t="shared" si="12"/>
        <v>7798.06618033095</v>
      </c>
      <c r="G73" s="19">
        <f t="shared" si="13"/>
        <v>67583.24022953492</v>
      </c>
    </row>
    <row r="74" spans="1:7" ht="12.75">
      <c r="A74" s="12"/>
      <c r="B74" s="14">
        <v>68</v>
      </c>
      <c r="C74" s="19">
        <f t="shared" si="9"/>
        <v>318817.52595759294</v>
      </c>
      <c r="D74" s="19">
        <f t="shared" si="10"/>
        <v>0</v>
      </c>
      <c r="E74" s="19">
        <f t="shared" si="11"/>
        <v>0</v>
      </c>
      <c r="F74" s="19">
        <f t="shared" si="12"/>
        <v>23911.31444681947</v>
      </c>
      <c r="G74" s="19">
        <f t="shared" si="13"/>
        <v>79704.38148939823</v>
      </c>
    </row>
    <row r="75" spans="1:7" ht="12.75">
      <c r="A75" s="12"/>
      <c r="B75" s="14">
        <v>69</v>
      </c>
      <c r="C75" s="19">
        <f t="shared" si="9"/>
        <v>325864.81220850145</v>
      </c>
      <c r="D75" s="19">
        <f t="shared" si="10"/>
        <v>0</v>
      </c>
      <c r="E75" s="19">
        <f t="shared" si="11"/>
        <v>0</v>
      </c>
      <c r="F75" s="19">
        <f t="shared" si="12"/>
        <v>40733.10152606268</v>
      </c>
      <c r="G75" s="19">
        <f t="shared" si="13"/>
        <v>92328.36345907542</v>
      </c>
    </row>
    <row r="76" spans="1:7" ht="12.75">
      <c r="A76" s="12"/>
      <c r="B76" s="14">
        <v>70</v>
      </c>
      <c r="C76" s="19">
        <f t="shared" si="9"/>
        <v>333067.8748501622</v>
      </c>
      <c r="D76" s="19">
        <f t="shared" si="10"/>
        <v>0</v>
      </c>
      <c r="E76" s="19">
        <f t="shared" si="11"/>
        <v>11102.262495005405</v>
      </c>
      <c r="F76" s="19">
        <f t="shared" si="12"/>
        <v>58286.87809877839</v>
      </c>
      <c r="G76" s="19">
        <f t="shared" si="13"/>
        <v>105471.49370255135</v>
      </c>
    </row>
    <row r="77" spans="1:7" ht="12.75">
      <c r="A77" s="12" t="s">
        <v>33</v>
      </c>
      <c r="B77" s="14">
        <v>71</v>
      </c>
      <c r="C77" s="19">
        <f t="shared" si="9"/>
        <v>340430.15723410825</v>
      </c>
      <c r="D77" s="19">
        <f t="shared" si="10"/>
        <v>0</v>
      </c>
      <c r="E77" s="19">
        <f t="shared" si="11"/>
        <v>34043.01572341083</v>
      </c>
      <c r="F77" s="19">
        <f t="shared" si="12"/>
        <v>76596.78537767436</v>
      </c>
      <c r="G77" s="19">
        <f t="shared" si="13"/>
        <v>119150.5550319379</v>
      </c>
    </row>
    <row r="78" spans="1:7" ht="13.5" thickBot="1">
      <c r="A78" s="24">
        <f>SUM(D67:G78)</f>
        <v>1198344.039647519</v>
      </c>
      <c r="B78" s="11">
        <v>72</v>
      </c>
      <c r="C78" s="19">
        <f t="shared" si="9"/>
        <v>347955.1788252665</v>
      </c>
      <c r="D78" s="19">
        <f t="shared" si="10"/>
        <v>17397.758941263324</v>
      </c>
      <c r="E78" s="19">
        <f t="shared" si="11"/>
        <v>57992.52980421108</v>
      </c>
      <c r="F78" s="19">
        <f t="shared" si="12"/>
        <v>95687.67417694828</v>
      </c>
      <c r="G78" s="19">
        <f t="shared" si="13"/>
        <v>133382.8185496855</v>
      </c>
    </row>
    <row r="79" ht="12.75">
      <c r="C79" s="19"/>
    </row>
    <row r="81" spans="5:9" ht="12.75">
      <c r="E81" s="23">
        <v>0</v>
      </c>
      <c r="F81" s="23">
        <v>1</v>
      </c>
      <c r="G81" s="23">
        <v>2</v>
      </c>
      <c r="H81" s="23">
        <v>4</v>
      </c>
      <c r="I81" s="23">
        <v>12</v>
      </c>
    </row>
    <row r="82" spans="4:9" ht="12.75">
      <c r="D82" s="23">
        <v>1</v>
      </c>
      <c r="E82">
        <v>0</v>
      </c>
      <c r="F82" s="6">
        <v>0.041666666666666664</v>
      </c>
      <c r="G82" s="6">
        <v>0</v>
      </c>
      <c r="H82" s="6">
        <v>0</v>
      </c>
      <c r="I82">
        <v>0</v>
      </c>
    </row>
    <row r="83" spans="4:9" ht="12.75">
      <c r="D83" s="23">
        <v>2</v>
      </c>
      <c r="E83">
        <v>0</v>
      </c>
      <c r="F83" s="6">
        <v>0.125</v>
      </c>
      <c r="G83" s="6">
        <v>0</v>
      </c>
      <c r="H83" s="6">
        <v>0</v>
      </c>
      <c r="I83">
        <v>0</v>
      </c>
    </row>
    <row r="84" spans="4:9" ht="12.75">
      <c r="D84" s="23">
        <v>3</v>
      </c>
      <c r="E84">
        <v>0</v>
      </c>
      <c r="F84" s="6">
        <v>0.20833333333333334</v>
      </c>
      <c r="G84" s="6">
        <v>0</v>
      </c>
      <c r="H84" s="6">
        <v>0</v>
      </c>
      <c r="I84">
        <v>0</v>
      </c>
    </row>
    <row r="85" spans="4:9" ht="12.75">
      <c r="D85" s="23">
        <v>4</v>
      </c>
      <c r="E85">
        <v>0</v>
      </c>
      <c r="F85" s="6">
        <v>0.2916666666666667</v>
      </c>
      <c r="G85" s="6">
        <v>0</v>
      </c>
      <c r="H85" s="6">
        <v>0</v>
      </c>
      <c r="I85">
        <v>0</v>
      </c>
    </row>
    <row r="86" spans="4:9" ht="12.75">
      <c r="D86" s="23">
        <v>5</v>
      </c>
      <c r="E86">
        <v>0</v>
      </c>
      <c r="F86" s="6">
        <v>0.375</v>
      </c>
      <c r="G86" s="6">
        <v>0</v>
      </c>
      <c r="H86" s="6">
        <v>0</v>
      </c>
      <c r="I86">
        <v>0</v>
      </c>
    </row>
    <row r="87" spans="4:9" ht="12.75">
      <c r="D87" s="23">
        <v>6</v>
      </c>
      <c r="E87">
        <v>0</v>
      </c>
      <c r="F87" s="6">
        <v>0.4583333333333333</v>
      </c>
      <c r="G87" s="6">
        <v>0</v>
      </c>
      <c r="H87" s="6">
        <v>0</v>
      </c>
      <c r="I87">
        <v>0</v>
      </c>
    </row>
    <row r="88" spans="4:9" ht="12.75">
      <c r="D88" s="23">
        <v>7</v>
      </c>
      <c r="E88">
        <v>0</v>
      </c>
      <c r="F88" s="6">
        <v>0.5416666666666666</v>
      </c>
      <c r="G88" s="6">
        <v>0.08333333333333333</v>
      </c>
      <c r="H88" s="6">
        <v>0</v>
      </c>
      <c r="I88">
        <v>0</v>
      </c>
    </row>
    <row r="89" spans="4:9" ht="12.75">
      <c r="D89" s="23">
        <v>8</v>
      </c>
      <c r="E89">
        <v>0</v>
      </c>
      <c r="F89" s="6">
        <v>0.625</v>
      </c>
      <c r="G89" s="6">
        <v>0.25</v>
      </c>
      <c r="H89" s="6">
        <v>0</v>
      </c>
      <c r="I89">
        <v>0</v>
      </c>
    </row>
    <row r="90" spans="4:9" ht="12.75">
      <c r="D90" s="23">
        <v>9</v>
      </c>
      <c r="E90">
        <v>0</v>
      </c>
      <c r="F90" s="6">
        <v>0.7083333333333334</v>
      </c>
      <c r="G90" s="6">
        <v>0.4166666666666667</v>
      </c>
      <c r="H90" s="6">
        <v>0</v>
      </c>
      <c r="I90">
        <v>0</v>
      </c>
    </row>
    <row r="91" spans="4:9" ht="12.75">
      <c r="D91" s="23">
        <v>10</v>
      </c>
      <c r="E91">
        <v>0</v>
      </c>
      <c r="F91" s="6">
        <v>0.7916666666666666</v>
      </c>
      <c r="G91" s="6">
        <v>0.5833333333333334</v>
      </c>
      <c r="H91" s="6">
        <v>0.16666666666666666</v>
      </c>
      <c r="I91">
        <v>0</v>
      </c>
    </row>
    <row r="92" spans="4:9" ht="12.75">
      <c r="D92" s="23">
        <v>11</v>
      </c>
      <c r="E92">
        <v>0</v>
      </c>
      <c r="F92" s="6">
        <v>0.875</v>
      </c>
      <c r="G92" s="6">
        <v>0.75</v>
      </c>
      <c r="H92" s="6">
        <v>0.5</v>
      </c>
      <c r="I92">
        <v>0</v>
      </c>
    </row>
    <row r="93" spans="4:9" ht="12.75">
      <c r="D93" s="23">
        <v>0</v>
      </c>
      <c r="E93">
        <v>0</v>
      </c>
      <c r="F93" s="6">
        <v>0.9583333333333334</v>
      </c>
      <c r="G93" s="6">
        <v>0.9166666666666666</v>
      </c>
      <c r="H93" s="6">
        <v>0.8333333333333334</v>
      </c>
      <c r="I93">
        <v>0.5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12.140625" style="0" customWidth="1"/>
    <col min="2" max="5" width="6.28125" style="0" customWidth="1"/>
    <col min="6" max="6" width="7.00390625" style="0" customWidth="1"/>
    <col min="7" max="7" width="8.00390625" style="0" customWidth="1"/>
    <col min="8" max="9" width="7.57421875" style="0" bestFit="1" customWidth="1"/>
    <col min="10" max="10" width="8.140625" style="0" customWidth="1"/>
    <col min="11" max="11" width="8.421875" style="0" customWidth="1"/>
    <col min="13" max="13" width="8.57421875" style="0" customWidth="1"/>
    <col min="14" max="14" width="7.28125" style="0" customWidth="1"/>
    <col min="15" max="15" width="7.57421875" style="0" bestFit="1" customWidth="1"/>
    <col min="16" max="21" width="6.28125" style="0" customWidth="1"/>
  </cols>
  <sheetData>
    <row r="1" ht="12.75">
      <c r="A1" t="s">
        <v>10</v>
      </c>
    </row>
    <row r="3" spans="2:21" ht="12.75">
      <c r="B3" s="73" t="s">
        <v>23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2:21" ht="12.75">
      <c r="B4" s="17">
        <v>0</v>
      </c>
      <c r="C4" s="17">
        <v>1</v>
      </c>
      <c r="D4" s="17">
        <v>2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7">
        <v>15</v>
      </c>
      <c r="R4" s="17">
        <v>16</v>
      </c>
      <c r="S4" s="17">
        <v>17</v>
      </c>
      <c r="T4" s="17">
        <v>18</v>
      </c>
      <c r="U4" s="17">
        <v>19</v>
      </c>
    </row>
    <row r="5" spans="1:21" ht="12.75">
      <c r="A5" s="18" t="s">
        <v>17</v>
      </c>
      <c r="B5" s="5">
        <f ca="1">OFFSET('Exponential function'!$A$4,'Claims Triangles'!B$4+1,1,1,1)</f>
        <v>0.865</v>
      </c>
      <c r="C5" s="5">
        <f ca="1">OFFSET('Exponential function'!$A$4,'Claims Triangles'!C$4+1,1,1,1)</f>
        <v>0.982</v>
      </c>
      <c r="D5" s="5">
        <f ca="1">OFFSET('Exponential function'!$A$4,'Claims Triangles'!D$4+1,1,1,1)</f>
        <v>0.998</v>
      </c>
      <c r="E5" s="5">
        <f ca="1">OFFSET('Exponential function'!$A$4,'Claims Triangles'!E$4+1,1,1,1)</f>
        <v>1</v>
      </c>
      <c r="F5" s="5">
        <f ca="1">OFFSET('Exponential function'!$A$4,'Claims Triangles'!F$4+1,1,1,1)</f>
        <v>1</v>
      </c>
      <c r="G5" s="5">
        <f ca="1">OFFSET('Exponential function'!$A$4,'Claims Triangles'!G$4+1,1,1,1)</f>
        <v>1</v>
      </c>
      <c r="H5" s="5">
        <f ca="1">OFFSET('Exponential function'!$A$4,'Claims Triangles'!H$4+1,1,1,1)</f>
        <v>1</v>
      </c>
      <c r="I5" s="5">
        <f ca="1">OFFSET('Exponential function'!$A$4,'Claims Triangles'!I$4+1,1,1,1)</f>
        <v>1</v>
      </c>
      <c r="J5" s="5">
        <f ca="1">OFFSET('Exponential function'!$A$4,'Claims Triangles'!J$4+1,1,1,1)</f>
        <v>1</v>
      </c>
      <c r="K5" s="5">
        <f ca="1">OFFSET('Exponential function'!$A$4,'Claims Triangles'!K$4+1,1,1,1)</f>
        <v>1</v>
      </c>
      <c r="L5" s="5">
        <f ca="1">OFFSET('Exponential function'!$A$4,'Claims Triangles'!L$4+1,1,1,1)</f>
        <v>1</v>
      </c>
      <c r="M5" s="5">
        <f ca="1">OFFSET('Exponential function'!$A$4,'Claims Triangles'!M$4+1,1,1,1)</f>
        <v>1</v>
      </c>
      <c r="N5" s="5">
        <f ca="1">OFFSET('Exponential function'!$A$4,'Claims Triangles'!N$4+1,1,1,1)</f>
        <v>1</v>
      </c>
      <c r="O5" s="5">
        <f ca="1">OFFSET('Exponential function'!$A$4,'Claims Triangles'!O$4+1,1,1,1)</f>
        <v>1</v>
      </c>
      <c r="P5" s="5">
        <f ca="1">OFFSET('Exponential function'!$A$4,'Claims Triangles'!P$4+1,1,1,1)</f>
        <v>1</v>
      </c>
      <c r="Q5" s="5">
        <f ca="1">OFFSET('Exponential function'!$A$4,'Claims Triangles'!Q$4+1,1,1,1)</f>
        <v>1</v>
      </c>
      <c r="R5" s="5">
        <f ca="1">OFFSET('Exponential function'!$A$4,'Claims Triangles'!R$4+1,1,1,1)</f>
        <v>1</v>
      </c>
      <c r="S5" s="5">
        <f ca="1">OFFSET('Exponential function'!$A$4,'Claims Triangles'!S$4+1,1,1,1)</f>
        <v>1</v>
      </c>
      <c r="T5" s="5">
        <f ca="1">OFFSET('Exponential function'!$A$4,'Claims Triangles'!T$4+1,1,1,1)</f>
        <v>1</v>
      </c>
      <c r="U5" s="5">
        <f ca="1">OFFSET('Exponential function'!$A$4,'Claims Triangles'!U$4+1,1,1,1)</f>
        <v>1</v>
      </c>
    </row>
    <row r="6" spans="1:21" ht="12.75">
      <c r="A6" s="18" t="s">
        <v>18</v>
      </c>
      <c r="B6" s="5">
        <f>+B$10+(B$5-B$10)/5*4</f>
        <v>0.7706</v>
      </c>
      <c r="C6" s="5">
        <f aca="true" t="shared" si="0" ref="C6:U6">+C10+(C5-C10)/5*4</f>
        <v>0.9119999999999999</v>
      </c>
      <c r="D6" s="5">
        <f t="shared" si="0"/>
        <v>0.9538</v>
      </c>
      <c r="E6" s="5">
        <f t="shared" si="0"/>
        <v>0.973</v>
      </c>
      <c r="F6" s="5">
        <f t="shared" si="0"/>
        <v>0.9836</v>
      </c>
      <c r="G6" s="5">
        <f t="shared" si="0"/>
        <v>0.99</v>
      </c>
      <c r="H6" s="5">
        <f t="shared" si="0"/>
        <v>0.994</v>
      </c>
      <c r="I6" s="5">
        <f t="shared" si="0"/>
        <v>0.9964</v>
      </c>
      <c r="J6" s="5">
        <f t="shared" si="0"/>
        <v>0.9978</v>
      </c>
      <c r="K6" s="5">
        <f t="shared" si="0"/>
        <v>0.9986</v>
      </c>
      <c r="L6" s="5">
        <f t="shared" si="0"/>
        <v>0.9992</v>
      </c>
      <c r="M6" s="5">
        <f t="shared" si="0"/>
        <v>0.9996</v>
      </c>
      <c r="N6" s="5">
        <f t="shared" si="0"/>
        <v>0.9996</v>
      </c>
      <c r="O6" s="5">
        <f t="shared" si="0"/>
        <v>0.9998</v>
      </c>
      <c r="P6" s="5">
        <f t="shared" si="0"/>
        <v>0.9998</v>
      </c>
      <c r="Q6" s="5">
        <f t="shared" si="0"/>
        <v>1</v>
      </c>
      <c r="R6" s="5">
        <f t="shared" si="0"/>
        <v>1</v>
      </c>
      <c r="S6" s="5">
        <f t="shared" si="0"/>
        <v>1</v>
      </c>
      <c r="T6" s="5">
        <f t="shared" si="0"/>
        <v>1</v>
      </c>
      <c r="U6" s="5">
        <f t="shared" si="0"/>
        <v>1</v>
      </c>
    </row>
    <row r="7" spans="1:21" ht="12.75">
      <c r="A7" s="18" t="s">
        <v>19</v>
      </c>
      <c r="B7" s="5">
        <f>+B$10+(B$5-B$10)/5*3</f>
        <v>0.6762</v>
      </c>
      <c r="C7" s="5">
        <f aca="true" t="shared" si="1" ref="C7:U7">+C$10+(C$5-C$10)/5*3</f>
        <v>0.842</v>
      </c>
      <c r="D7" s="5">
        <f t="shared" si="1"/>
        <v>0.9096</v>
      </c>
      <c r="E7" s="5">
        <f t="shared" si="1"/>
        <v>0.946</v>
      </c>
      <c r="F7" s="5">
        <f t="shared" si="1"/>
        <v>0.9672000000000001</v>
      </c>
      <c r="G7" s="5">
        <f t="shared" si="1"/>
        <v>0.98</v>
      </c>
      <c r="H7" s="5">
        <f t="shared" si="1"/>
        <v>0.988</v>
      </c>
      <c r="I7" s="5">
        <f t="shared" si="1"/>
        <v>0.9928</v>
      </c>
      <c r="J7" s="5">
        <f t="shared" si="1"/>
        <v>0.9956</v>
      </c>
      <c r="K7" s="5">
        <f t="shared" si="1"/>
        <v>0.9972</v>
      </c>
      <c r="L7" s="5">
        <f t="shared" si="1"/>
        <v>0.9984</v>
      </c>
      <c r="M7" s="5">
        <f t="shared" si="1"/>
        <v>0.9992</v>
      </c>
      <c r="N7" s="5">
        <f t="shared" si="1"/>
        <v>0.9992</v>
      </c>
      <c r="O7" s="5">
        <f t="shared" si="1"/>
        <v>0.9996</v>
      </c>
      <c r="P7" s="5">
        <f t="shared" si="1"/>
        <v>0.9996</v>
      </c>
      <c r="Q7" s="5">
        <f t="shared" si="1"/>
        <v>1</v>
      </c>
      <c r="R7" s="5">
        <f t="shared" si="1"/>
        <v>1</v>
      </c>
      <c r="S7" s="5">
        <f t="shared" si="1"/>
        <v>1</v>
      </c>
      <c r="T7" s="5">
        <f t="shared" si="1"/>
        <v>1</v>
      </c>
      <c r="U7" s="5">
        <f t="shared" si="1"/>
        <v>1</v>
      </c>
    </row>
    <row r="8" spans="1:21" ht="12.75">
      <c r="A8" s="18" t="s">
        <v>20</v>
      </c>
      <c r="B8" s="5">
        <f>+B$10+(B$5-B$10)/5*2</f>
        <v>0.5818</v>
      </c>
      <c r="C8" s="5">
        <f aca="true" t="shared" si="2" ref="C8:U8">+C$10+(C$5-C$10)/5*2</f>
        <v>0.772</v>
      </c>
      <c r="D8" s="5">
        <f t="shared" si="2"/>
        <v>0.8654000000000001</v>
      </c>
      <c r="E8" s="5">
        <f t="shared" si="2"/>
        <v>0.919</v>
      </c>
      <c r="F8" s="5">
        <f t="shared" si="2"/>
        <v>0.9508</v>
      </c>
      <c r="G8" s="5">
        <f t="shared" si="2"/>
        <v>0.97</v>
      </c>
      <c r="H8" s="5">
        <f t="shared" si="2"/>
        <v>0.982</v>
      </c>
      <c r="I8" s="5">
        <f t="shared" si="2"/>
        <v>0.9892</v>
      </c>
      <c r="J8" s="5">
        <f t="shared" si="2"/>
        <v>0.9934</v>
      </c>
      <c r="K8" s="5">
        <f t="shared" si="2"/>
        <v>0.9958</v>
      </c>
      <c r="L8" s="5">
        <f t="shared" si="2"/>
        <v>0.9976</v>
      </c>
      <c r="M8" s="5">
        <f t="shared" si="2"/>
        <v>0.9988</v>
      </c>
      <c r="N8" s="5">
        <f t="shared" si="2"/>
        <v>0.9988</v>
      </c>
      <c r="O8" s="5">
        <f t="shared" si="2"/>
        <v>0.9994</v>
      </c>
      <c r="P8" s="5">
        <f t="shared" si="2"/>
        <v>0.9994</v>
      </c>
      <c r="Q8" s="5">
        <f t="shared" si="2"/>
        <v>1</v>
      </c>
      <c r="R8" s="5">
        <f t="shared" si="2"/>
        <v>1</v>
      </c>
      <c r="S8" s="5">
        <f t="shared" si="2"/>
        <v>1</v>
      </c>
      <c r="T8" s="5">
        <f t="shared" si="2"/>
        <v>1</v>
      </c>
      <c r="U8" s="5">
        <f t="shared" si="2"/>
        <v>1</v>
      </c>
    </row>
    <row r="9" spans="1:21" ht="12.75">
      <c r="A9" s="18" t="s">
        <v>21</v>
      </c>
      <c r="B9" s="5">
        <f>+B$10+(B$5-B$10)/5*1</f>
        <v>0.4874</v>
      </c>
      <c r="C9" s="5">
        <f aca="true" t="shared" si="3" ref="C9:U9">+C$10+(C$5-C$10)/5*1</f>
        <v>0.702</v>
      </c>
      <c r="D9" s="5">
        <f t="shared" si="3"/>
        <v>0.8212</v>
      </c>
      <c r="E9" s="5">
        <f t="shared" si="3"/>
        <v>0.892</v>
      </c>
      <c r="F9" s="5">
        <f t="shared" si="3"/>
        <v>0.9344</v>
      </c>
      <c r="G9" s="5">
        <f t="shared" si="3"/>
        <v>0.96</v>
      </c>
      <c r="H9" s="5">
        <f t="shared" si="3"/>
        <v>0.976</v>
      </c>
      <c r="I9" s="5">
        <f t="shared" si="3"/>
        <v>0.9856</v>
      </c>
      <c r="J9" s="5">
        <f t="shared" si="3"/>
        <v>0.9912</v>
      </c>
      <c r="K9" s="5">
        <f t="shared" si="3"/>
        <v>0.9944</v>
      </c>
      <c r="L9" s="5">
        <f t="shared" si="3"/>
        <v>0.9968</v>
      </c>
      <c r="M9" s="5">
        <f t="shared" si="3"/>
        <v>0.9984</v>
      </c>
      <c r="N9" s="5">
        <f t="shared" si="3"/>
        <v>0.9984</v>
      </c>
      <c r="O9" s="5">
        <f t="shared" si="3"/>
        <v>0.9992</v>
      </c>
      <c r="P9" s="5">
        <f t="shared" si="3"/>
        <v>0.9992</v>
      </c>
      <c r="Q9" s="5">
        <f t="shared" si="3"/>
        <v>1</v>
      </c>
      <c r="R9" s="5">
        <f t="shared" si="3"/>
        <v>1</v>
      </c>
      <c r="S9" s="5">
        <f t="shared" si="3"/>
        <v>1</v>
      </c>
      <c r="T9" s="5">
        <f t="shared" si="3"/>
        <v>1</v>
      </c>
      <c r="U9" s="5">
        <f t="shared" si="3"/>
        <v>1</v>
      </c>
    </row>
    <row r="10" spans="1:21" ht="12.75">
      <c r="A10" s="18" t="s">
        <v>22</v>
      </c>
      <c r="B10" s="5">
        <f ca="1">OFFSET('Exponential function'!$A$28,'Claims Triangles'!B$4+1,1,1,1)</f>
        <v>0.393</v>
      </c>
      <c r="C10" s="5">
        <f ca="1">OFFSET('Exponential function'!$A$28,'Claims Triangles'!C$4+1,1,1,1)</f>
        <v>0.632</v>
      </c>
      <c r="D10" s="5">
        <f ca="1">OFFSET('Exponential function'!$A$28,'Claims Triangles'!D$4+1,1,1,1)</f>
        <v>0.777</v>
      </c>
      <c r="E10" s="5">
        <f ca="1">OFFSET('Exponential function'!$A$28,'Claims Triangles'!E$4+1,1,1,1)</f>
        <v>0.865</v>
      </c>
      <c r="F10" s="5">
        <f ca="1">OFFSET('Exponential function'!$A$28,'Claims Triangles'!F$4+1,1,1,1)</f>
        <v>0.918</v>
      </c>
      <c r="G10" s="5">
        <f ca="1">OFFSET('Exponential function'!$A$28,'Claims Triangles'!G$4+1,1,1,1)</f>
        <v>0.95</v>
      </c>
      <c r="H10" s="5">
        <f ca="1">OFFSET('Exponential function'!$A$28,'Claims Triangles'!H$4+1,1,1,1)</f>
        <v>0.97</v>
      </c>
      <c r="I10" s="5">
        <f ca="1">OFFSET('Exponential function'!$A$28,'Claims Triangles'!I$4+1,1,1,1)</f>
        <v>0.982</v>
      </c>
      <c r="J10" s="5">
        <f ca="1">OFFSET('Exponential function'!$A$28,'Claims Triangles'!J$4+1,1,1,1)</f>
        <v>0.989</v>
      </c>
      <c r="K10" s="5">
        <f ca="1">OFFSET('Exponential function'!$A$28,'Claims Triangles'!K$4+1,1,1,1)</f>
        <v>0.993</v>
      </c>
      <c r="L10" s="5">
        <f ca="1">OFFSET('Exponential function'!$A$28,'Claims Triangles'!L$4+1,1,1,1)</f>
        <v>0.996</v>
      </c>
      <c r="M10" s="5">
        <f ca="1">OFFSET('Exponential function'!$A$28,'Claims Triangles'!M$4+1,1,1,1)</f>
        <v>0.998</v>
      </c>
      <c r="N10" s="5">
        <f ca="1">OFFSET('Exponential function'!$A$28,'Claims Triangles'!N$4+1,1,1,1)</f>
        <v>0.998</v>
      </c>
      <c r="O10" s="5">
        <f ca="1">OFFSET('Exponential function'!$A$28,'Claims Triangles'!O$4+1,1,1,1)</f>
        <v>0.999</v>
      </c>
      <c r="P10" s="5">
        <f ca="1">OFFSET('Exponential function'!$A$28,'Claims Triangles'!P$4+1,1,1,1)</f>
        <v>0.999</v>
      </c>
      <c r="Q10" s="5">
        <f ca="1">OFFSET('Exponential function'!$A$28,'Claims Triangles'!Q$4+1,1,1,1)</f>
        <v>1</v>
      </c>
      <c r="R10" s="5">
        <f ca="1">OFFSET('Exponential function'!$A$28,'Claims Triangles'!R$4+1,1,1,1)</f>
        <v>1</v>
      </c>
      <c r="S10" s="5">
        <f ca="1">OFFSET('Exponential function'!$A$28,'Claims Triangles'!S$4+1,1,1,1)</f>
        <v>1</v>
      </c>
      <c r="T10" s="5">
        <f ca="1">OFFSET('Exponential function'!$A$28,'Claims Triangles'!T$4+1,1,1,1)</f>
        <v>1</v>
      </c>
      <c r="U10" s="5">
        <f ca="1">OFFSET('Exponential function'!$A$28,'Claims Triangles'!U$4+1,1,1,1)</f>
        <v>1</v>
      </c>
    </row>
    <row r="38" spans="7:26" ht="12.75">
      <c r="G38" s="73" t="s">
        <v>23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2:26" ht="12.75">
      <c r="B39" t="s">
        <v>41</v>
      </c>
      <c r="C39" s="72" t="s">
        <v>40</v>
      </c>
      <c r="D39" s="72"/>
      <c r="E39" s="72" t="s">
        <v>42</v>
      </c>
      <c r="F39" s="72"/>
      <c r="G39" s="17">
        <v>0</v>
      </c>
      <c r="H39" s="17">
        <v>1</v>
      </c>
      <c r="I39" s="17">
        <v>2</v>
      </c>
      <c r="J39" s="17">
        <v>3</v>
      </c>
      <c r="K39" s="17">
        <v>4</v>
      </c>
      <c r="L39" s="17">
        <v>5</v>
      </c>
      <c r="M39" s="17">
        <v>6</v>
      </c>
      <c r="N39" s="17">
        <v>7</v>
      </c>
      <c r="O39" s="17">
        <v>8</v>
      </c>
      <c r="P39" s="17">
        <v>9</v>
      </c>
      <c r="Q39" s="17">
        <v>10</v>
      </c>
      <c r="R39" s="17">
        <v>11</v>
      </c>
      <c r="S39" s="17">
        <v>12</v>
      </c>
      <c r="T39" s="17">
        <v>13</v>
      </c>
      <c r="U39" s="17">
        <v>14</v>
      </c>
      <c r="V39" s="17">
        <v>15</v>
      </c>
      <c r="W39" s="17">
        <v>16</v>
      </c>
      <c r="X39" s="17">
        <v>17</v>
      </c>
      <c r="Y39" s="17">
        <v>18</v>
      </c>
      <c r="Z39" s="17">
        <v>19</v>
      </c>
    </row>
    <row r="40" spans="1:26" ht="12.75">
      <c r="A40" s="18">
        <v>2009</v>
      </c>
      <c r="B40" s="20">
        <f>+'P &amp; L'!C18</f>
        <v>0.6</v>
      </c>
      <c r="C40" s="71">
        <f>+'P &amp; L'!E27</f>
        <v>677251.1090573997</v>
      </c>
      <c r="D40" s="71"/>
      <c r="E40" s="71">
        <f aca="true" t="shared" si="4" ref="E40:E45">+C40*B40</f>
        <v>406350.6654344398</v>
      </c>
      <c r="F40" s="71"/>
      <c r="G40" s="19">
        <f aca="true" t="shared" si="5" ref="G40:G45">+$E40*B5</f>
        <v>351493.3256007904</v>
      </c>
      <c r="H40" s="19">
        <f aca="true" t="shared" si="6" ref="H40:H45">+$E40*(C5-B5)</f>
        <v>47543.02785582945</v>
      </c>
      <c r="I40" s="19">
        <f aca="true" t="shared" si="7" ref="I40:Z40">+$E40*(D5-C5)</f>
        <v>6501.610646951042</v>
      </c>
      <c r="J40" s="19">
        <f t="shared" si="7"/>
        <v>812.7013308688803</v>
      </c>
      <c r="K40" s="19">
        <f t="shared" si="7"/>
        <v>0</v>
      </c>
      <c r="L40" s="19">
        <f t="shared" si="7"/>
        <v>0</v>
      </c>
      <c r="M40" s="19">
        <f t="shared" si="7"/>
        <v>0</v>
      </c>
      <c r="N40" s="19">
        <f t="shared" si="7"/>
        <v>0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0</v>
      </c>
      <c r="W40" s="19">
        <f t="shared" si="7"/>
        <v>0</v>
      </c>
      <c r="X40" s="19">
        <f t="shared" si="7"/>
        <v>0</v>
      </c>
      <c r="Y40" s="19">
        <f t="shared" si="7"/>
        <v>0</v>
      </c>
      <c r="Z40" s="19">
        <f t="shared" si="7"/>
        <v>0</v>
      </c>
    </row>
    <row r="41" spans="1:26" ht="12.75">
      <c r="A41" s="18">
        <v>2010</v>
      </c>
      <c r="B41" s="20">
        <f>+B$40+(B$45-B$40)*1/5</f>
        <v>0.64</v>
      </c>
      <c r="C41" s="71">
        <f>+'P &amp; L'!F27</f>
        <v>1203175.3327172212</v>
      </c>
      <c r="D41" s="72"/>
      <c r="E41" s="71">
        <f t="shared" si="4"/>
        <v>770032.2129390216</v>
      </c>
      <c r="F41" s="72"/>
      <c r="G41" s="19">
        <f t="shared" si="5"/>
        <v>593386.82329081</v>
      </c>
      <c r="H41" s="19">
        <f t="shared" si="6"/>
        <v>108882.55490957764</v>
      </c>
      <c r="I41" s="19">
        <f aca="true" t="shared" si="8" ref="I41:R45">+$E41*(D6-C6)</f>
        <v>32187.346500851152</v>
      </c>
      <c r="J41" s="19">
        <f t="shared" si="8"/>
        <v>14784.618488429212</v>
      </c>
      <c r="K41" s="19">
        <f t="shared" si="8"/>
        <v>8162.3414571536705</v>
      </c>
      <c r="L41" s="19">
        <f t="shared" si="8"/>
        <v>4928.206162809709</v>
      </c>
      <c r="M41" s="19">
        <f t="shared" si="8"/>
        <v>3080.1288517560893</v>
      </c>
      <c r="N41" s="19">
        <f t="shared" si="8"/>
        <v>1848.0773110536195</v>
      </c>
      <c r="O41" s="19">
        <f t="shared" si="8"/>
        <v>1078.0450981146826</v>
      </c>
      <c r="P41" s="19">
        <f t="shared" si="8"/>
        <v>616.025770351235</v>
      </c>
      <c r="Q41" s="19">
        <f t="shared" si="8"/>
        <v>462.0193277633621</v>
      </c>
      <c r="R41" s="19">
        <f t="shared" si="8"/>
        <v>308.01288517566024</v>
      </c>
      <c r="S41" s="19">
        <f aca="true" t="shared" si="9" ref="S41:Z45">+$E41*(N6-M6)</f>
        <v>0</v>
      </c>
      <c r="T41" s="19">
        <f t="shared" si="9"/>
        <v>154.00644258778738</v>
      </c>
      <c r="U41" s="19">
        <f t="shared" si="9"/>
        <v>0</v>
      </c>
      <c r="V41" s="19">
        <f t="shared" si="9"/>
        <v>154.00644258778738</v>
      </c>
      <c r="W41" s="19">
        <f t="shared" si="9"/>
        <v>0</v>
      </c>
      <c r="X41" s="19">
        <f t="shared" si="9"/>
        <v>0</v>
      </c>
      <c r="Y41" s="19">
        <f t="shared" si="9"/>
        <v>0</v>
      </c>
      <c r="Z41" s="19">
        <f t="shared" si="9"/>
        <v>0</v>
      </c>
    </row>
    <row r="42" spans="1:26" ht="12.75">
      <c r="A42" s="18">
        <v>2011</v>
      </c>
      <c r="B42" s="20">
        <f>+B$40+(B$45-B$40)*2/5</f>
        <v>0.68</v>
      </c>
      <c r="C42" s="71">
        <f>+'P &amp; L'!G27</f>
        <v>1564127.93253239</v>
      </c>
      <c r="D42" s="72"/>
      <c r="E42" s="71">
        <f t="shared" si="4"/>
        <v>1063606.9941220253</v>
      </c>
      <c r="F42" s="72"/>
      <c r="G42" s="19">
        <f t="shared" si="5"/>
        <v>719211.0494253136</v>
      </c>
      <c r="H42" s="19">
        <f t="shared" si="6"/>
        <v>176346.03962543173</v>
      </c>
      <c r="I42" s="19">
        <f t="shared" si="8"/>
        <v>71899.8328026489</v>
      </c>
      <c r="J42" s="19">
        <f t="shared" si="8"/>
        <v>38715.29458604171</v>
      </c>
      <c r="K42" s="19">
        <f t="shared" si="8"/>
        <v>22548.46827538705</v>
      </c>
      <c r="L42" s="19">
        <f t="shared" si="8"/>
        <v>13614.16952476184</v>
      </c>
      <c r="M42" s="19">
        <f t="shared" si="8"/>
        <v>8508.85595297621</v>
      </c>
      <c r="N42" s="19">
        <f t="shared" si="8"/>
        <v>5105.313571785749</v>
      </c>
      <c r="O42" s="19">
        <f t="shared" si="8"/>
        <v>2978.099583541697</v>
      </c>
      <c r="P42" s="19">
        <f t="shared" si="8"/>
        <v>1701.7711905951712</v>
      </c>
      <c r="Q42" s="19">
        <f t="shared" si="8"/>
        <v>1276.3283929464078</v>
      </c>
      <c r="R42" s="19">
        <f t="shared" si="8"/>
        <v>850.8855952976446</v>
      </c>
      <c r="S42" s="19">
        <f t="shared" si="9"/>
        <v>0</v>
      </c>
      <c r="T42" s="19">
        <f t="shared" si="9"/>
        <v>425.44279764888137</v>
      </c>
      <c r="U42" s="19">
        <f t="shared" si="9"/>
        <v>0</v>
      </c>
      <c r="V42" s="19">
        <f t="shared" si="9"/>
        <v>425.44279764876325</v>
      </c>
      <c r="W42" s="19">
        <f t="shared" si="9"/>
        <v>0</v>
      </c>
      <c r="X42" s="19">
        <f t="shared" si="9"/>
        <v>0</v>
      </c>
      <c r="Y42" s="19">
        <f t="shared" si="9"/>
        <v>0</v>
      </c>
      <c r="Z42" s="19">
        <f t="shared" si="9"/>
        <v>0</v>
      </c>
    </row>
    <row r="43" spans="1:26" ht="12.75">
      <c r="A43" s="18">
        <v>2012</v>
      </c>
      <c r="B43" s="20">
        <f>+B$40+(B$45-B$40)*3/5</f>
        <v>0.72</v>
      </c>
      <c r="C43" s="71">
        <f>+'P &amp; L'!H27</f>
        <v>2033366.3122921102</v>
      </c>
      <c r="D43" s="72"/>
      <c r="E43" s="71">
        <f t="shared" si="4"/>
        <v>1464023.7448503193</v>
      </c>
      <c r="F43" s="72"/>
      <c r="G43" s="19">
        <f t="shared" si="5"/>
        <v>851769.0147539157</v>
      </c>
      <c r="H43" s="19">
        <f t="shared" si="6"/>
        <v>278457.3162705308</v>
      </c>
      <c r="I43" s="19">
        <f t="shared" si="8"/>
        <v>136739.8177690199</v>
      </c>
      <c r="J43" s="19">
        <f t="shared" si="8"/>
        <v>78471.67272397708</v>
      </c>
      <c r="K43" s="19">
        <f t="shared" si="8"/>
        <v>46555.955086240065</v>
      </c>
      <c r="L43" s="19">
        <f t="shared" si="8"/>
        <v>28109.255901126126</v>
      </c>
      <c r="M43" s="19">
        <f t="shared" si="8"/>
        <v>17568.284938203848</v>
      </c>
      <c r="N43" s="19">
        <f t="shared" si="8"/>
        <v>10540.970962922276</v>
      </c>
      <c r="O43" s="19">
        <f t="shared" si="8"/>
        <v>6148.899728371314</v>
      </c>
      <c r="P43" s="19">
        <f t="shared" si="8"/>
        <v>3513.656987640867</v>
      </c>
      <c r="Q43" s="19">
        <f t="shared" si="8"/>
        <v>2635.2427407306095</v>
      </c>
      <c r="R43" s="19">
        <f t="shared" si="8"/>
        <v>1756.8284938203524</v>
      </c>
      <c r="S43" s="19">
        <f t="shared" si="9"/>
        <v>0</v>
      </c>
      <c r="T43" s="19">
        <f t="shared" si="9"/>
        <v>878.4142469100949</v>
      </c>
      <c r="U43" s="19">
        <f t="shared" si="9"/>
        <v>0</v>
      </c>
      <c r="V43" s="19">
        <f t="shared" si="9"/>
        <v>878.4142469102574</v>
      </c>
      <c r="W43" s="19">
        <f t="shared" si="9"/>
        <v>0</v>
      </c>
      <c r="X43" s="19">
        <f t="shared" si="9"/>
        <v>0</v>
      </c>
      <c r="Y43" s="19">
        <f t="shared" si="9"/>
        <v>0</v>
      </c>
      <c r="Z43" s="19">
        <f t="shared" si="9"/>
        <v>0</v>
      </c>
    </row>
    <row r="44" spans="1:26" ht="12.75">
      <c r="A44" s="18">
        <v>2013</v>
      </c>
      <c r="B44" s="20">
        <f>+B$40+(B$45-B$40)*4/5</f>
        <v>0.76</v>
      </c>
      <c r="C44" s="71">
        <f>+'P &amp; L'!I27</f>
        <v>2643376.205979747</v>
      </c>
      <c r="D44" s="72"/>
      <c r="E44" s="71">
        <f t="shared" si="4"/>
        <v>2008965.9165446078</v>
      </c>
      <c r="F44" s="72"/>
      <c r="G44" s="19">
        <f t="shared" si="5"/>
        <v>979169.9877238419</v>
      </c>
      <c r="H44" s="19">
        <f t="shared" si="6"/>
        <v>431124.08569047274</v>
      </c>
      <c r="I44" s="19">
        <f t="shared" si="8"/>
        <v>239468.73725211743</v>
      </c>
      <c r="J44" s="19">
        <f t="shared" si="8"/>
        <v>142234.78689135818</v>
      </c>
      <c r="K44" s="19">
        <f t="shared" si="8"/>
        <v>85180.15486149136</v>
      </c>
      <c r="L44" s="19">
        <f t="shared" si="8"/>
        <v>51429.527463541875</v>
      </c>
      <c r="M44" s="19">
        <f t="shared" si="8"/>
        <v>32143.454664713754</v>
      </c>
      <c r="N44" s="19">
        <f t="shared" si="8"/>
        <v>19286.072798828343</v>
      </c>
      <c r="O44" s="19">
        <f t="shared" si="8"/>
        <v>11250.20913264968</v>
      </c>
      <c r="P44" s="19">
        <f t="shared" si="8"/>
        <v>6428.690932942706</v>
      </c>
      <c r="Q44" s="19">
        <f t="shared" si="8"/>
        <v>4821.518199707197</v>
      </c>
      <c r="R44" s="19">
        <f t="shared" si="8"/>
        <v>3214.3454664712417</v>
      </c>
      <c r="S44" s="19">
        <f t="shared" si="9"/>
        <v>0</v>
      </c>
      <c r="T44" s="19">
        <f t="shared" si="9"/>
        <v>1607.1727332357323</v>
      </c>
      <c r="U44" s="19">
        <f t="shared" si="9"/>
        <v>0</v>
      </c>
      <c r="V44" s="19">
        <f t="shared" si="9"/>
        <v>1607.1727332357323</v>
      </c>
      <c r="W44" s="19">
        <f t="shared" si="9"/>
        <v>0</v>
      </c>
      <c r="X44" s="19">
        <f t="shared" si="9"/>
        <v>0</v>
      </c>
      <c r="Y44" s="19">
        <f t="shared" si="9"/>
        <v>0</v>
      </c>
      <c r="Z44" s="19">
        <f t="shared" si="9"/>
        <v>0</v>
      </c>
    </row>
    <row r="45" spans="1:26" ht="12.75">
      <c r="A45" s="18">
        <v>2014</v>
      </c>
      <c r="B45" s="20">
        <f>+'P &amp; L'!C22</f>
        <v>0.8</v>
      </c>
      <c r="C45" s="71">
        <f>+'P &amp; L'!J27</f>
        <v>3436389.0677736765</v>
      </c>
      <c r="D45" s="72"/>
      <c r="E45" s="71">
        <f t="shared" si="4"/>
        <v>2749111.2542189416</v>
      </c>
      <c r="F45" s="72"/>
      <c r="G45" s="19">
        <f t="shared" si="5"/>
        <v>1080400.722908044</v>
      </c>
      <c r="H45" s="19">
        <f t="shared" si="6"/>
        <v>657037.589758327</v>
      </c>
      <c r="I45" s="19">
        <f t="shared" si="8"/>
        <v>398621.1318617466</v>
      </c>
      <c r="J45" s="19">
        <f t="shared" si="8"/>
        <v>241921.79037126678</v>
      </c>
      <c r="K45" s="19">
        <f t="shared" si="8"/>
        <v>145702.89647360402</v>
      </c>
      <c r="L45" s="19">
        <f t="shared" si="8"/>
        <v>87971.5601350059</v>
      </c>
      <c r="M45" s="19">
        <f t="shared" si="8"/>
        <v>54982.22508437888</v>
      </c>
      <c r="N45" s="19">
        <f t="shared" si="8"/>
        <v>32989.33505062733</v>
      </c>
      <c r="O45" s="19">
        <f t="shared" si="8"/>
        <v>19243.778779532608</v>
      </c>
      <c r="P45" s="19">
        <f t="shared" si="8"/>
        <v>10996.445016875776</v>
      </c>
      <c r="Q45" s="19">
        <f t="shared" si="8"/>
        <v>8247.333762656832</v>
      </c>
      <c r="R45" s="19">
        <f t="shared" si="8"/>
        <v>5498.222508437888</v>
      </c>
      <c r="S45" s="19">
        <f t="shared" si="9"/>
        <v>0</v>
      </c>
      <c r="T45" s="19">
        <f t="shared" si="9"/>
        <v>2749.111254218944</v>
      </c>
      <c r="U45" s="19">
        <f t="shared" si="9"/>
        <v>0</v>
      </c>
      <c r="V45" s="19">
        <f t="shared" si="9"/>
        <v>2749.111254218944</v>
      </c>
      <c r="W45" s="19">
        <f t="shared" si="9"/>
        <v>0</v>
      </c>
      <c r="X45" s="19">
        <f t="shared" si="9"/>
        <v>0</v>
      </c>
      <c r="Y45" s="19">
        <f t="shared" si="9"/>
        <v>0</v>
      </c>
      <c r="Z45" s="19">
        <f t="shared" si="9"/>
        <v>0</v>
      </c>
    </row>
    <row r="46" ht="12.75">
      <c r="A46" s="18"/>
    </row>
    <row r="47" ht="12.75">
      <c r="A47" s="18"/>
    </row>
    <row r="48" spans="1:25" ht="12.75">
      <c r="A48" s="18"/>
      <c r="G48" s="73" t="s">
        <v>54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</row>
    <row r="49" spans="1:25" ht="12.75">
      <c r="A49" s="18"/>
      <c r="G49" s="18">
        <v>2009</v>
      </c>
      <c r="H49" s="18">
        <v>2010</v>
      </c>
      <c r="I49" s="18">
        <v>2011</v>
      </c>
      <c r="J49" s="18">
        <v>2012</v>
      </c>
      <c r="K49" s="18">
        <v>2013</v>
      </c>
      <c r="L49" s="18">
        <v>2014</v>
      </c>
      <c r="M49" s="18">
        <v>2015</v>
      </c>
      <c r="N49" s="18">
        <v>2016</v>
      </c>
      <c r="O49" s="18">
        <v>2017</v>
      </c>
      <c r="P49" s="18">
        <v>2018</v>
      </c>
      <c r="Q49" s="18">
        <v>2019</v>
      </c>
      <c r="R49" s="18">
        <v>2020</v>
      </c>
      <c r="S49" s="18">
        <v>2021</v>
      </c>
      <c r="T49" s="18">
        <v>2022</v>
      </c>
      <c r="U49" s="18">
        <v>2023</v>
      </c>
      <c r="V49" s="18">
        <v>2024</v>
      </c>
      <c r="W49" s="18">
        <v>2025</v>
      </c>
      <c r="X49" s="18">
        <v>2026</v>
      </c>
      <c r="Y49" s="18">
        <v>2027</v>
      </c>
    </row>
    <row r="50" spans="6:25" ht="12.75">
      <c r="F50" s="30">
        <v>2009</v>
      </c>
      <c r="G50" s="19">
        <f>+G40</f>
        <v>351493.3256007904</v>
      </c>
      <c r="H50" s="19">
        <f aca="true" t="shared" si="10" ref="H50:Y50">+H40</f>
        <v>47543.02785582945</v>
      </c>
      <c r="I50" s="19">
        <f t="shared" si="10"/>
        <v>6501.610646951042</v>
      </c>
      <c r="J50" s="19">
        <f t="shared" si="10"/>
        <v>812.7013308688803</v>
      </c>
      <c r="K50" s="19">
        <f t="shared" si="10"/>
        <v>0</v>
      </c>
      <c r="L50" s="19">
        <f t="shared" si="10"/>
        <v>0</v>
      </c>
      <c r="M50" s="19">
        <f t="shared" si="10"/>
        <v>0</v>
      </c>
      <c r="N50" s="19">
        <f t="shared" si="10"/>
        <v>0</v>
      </c>
      <c r="O50" s="19">
        <f t="shared" si="10"/>
        <v>0</v>
      </c>
      <c r="P50" s="19">
        <f t="shared" si="10"/>
        <v>0</v>
      </c>
      <c r="Q50" s="19">
        <f t="shared" si="10"/>
        <v>0</v>
      </c>
      <c r="R50" s="19">
        <f t="shared" si="10"/>
        <v>0</v>
      </c>
      <c r="S50" s="19">
        <f t="shared" si="10"/>
        <v>0</v>
      </c>
      <c r="T50" s="19">
        <f t="shared" si="10"/>
        <v>0</v>
      </c>
      <c r="U50" s="19">
        <f t="shared" si="10"/>
        <v>0</v>
      </c>
      <c r="V50" s="19">
        <f t="shared" si="10"/>
        <v>0</v>
      </c>
      <c r="W50" s="19">
        <f t="shared" si="10"/>
        <v>0</v>
      </c>
      <c r="X50" s="19">
        <f t="shared" si="10"/>
        <v>0</v>
      </c>
      <c r="Y50" s="19">
        <f t="shared" si="10"/>
        <v>0</v>
      </c>
    </row>
    <row r="51" spans="6:25" ht="12.75">
      <c r="F51" s="30">
        <v>2010</v>
      </c>
      <c r="H51" s="19">
        <f aca="true" t="shared" si="11" ref="H51:Y51">+G41</f>
        <v>593386.82329081</v>
      </c>
      <c r="I51" s="19">
        <f t="shared" si="11"/>
        <v>108882.55490957764</v>
      </c>
      <c r="J51" s="19">
        <f t="shared" si="11"/>
        <v>32187.346500851152</v>
      </c>
      <c r="K51" s="19">
        <f t="shared" si="11"/>
        <v>14784.618488429212</v>
      </c>
      <c r="L51" s="19">
        <f t="shared" si="11"/>
        <v>8162.3414571536705</v>
      </c>
      <c r="M51" s="19">
        <f t="shared" si="11"/>
        <v>4928.206162809709</v>
      </c>
      <c r="N51" s="19">
        <f t="shared" si="11"/>
        <v>3080.1288517560893</v>
      </c>
      <c r="O51" s="19">
        <f t="shared" si="11"/>
        <v>1848.0773110536195</v>
      </c>
      <c r="P51" s="19">
        <f t="shared" si="11"/>
        <v>1078.0450981146826</v>
      </c>
      <c r="Q51" s="19">
        <f t="shared" si="11"/>
        <v>616.025770351235</v>
      </c>
      <c r="R51" s="19">
        <f t="shared" si="11"/>
        <v>462.0193277633621</v>
      </c>
      <c r="S51" s="19">
        <f t="shared" si="11"/>
        <v>308.01288517566024</v>
      </c>
      <c r="T51" s="19">
        <f t="shared" si="11"/>
        <v>0</v>
      </c>
      <c r="U51" s="19">
        <f t="shared" si="11"/>
        <v>154.00644258778738</v>
      </c>
      <c r="V51" s="19">
        <f t="shared" si="11"/>
        <v>0</v>
      </c>
      <c r="W51" s="19">
        <f t="shared" si="11"/>
        <v>154.00644258778738</v>
      </c>
      <c r="X51" s="19">
        <f t="shared" si="11"/>
        <v>0</v>
      </c>
      <c r="Y51" s="19">
        <f t="shared" si="11"/>
        <v>0</v>
      </c>
    </row>
    <row r="52" spans="6:25" ht="12.75">
      <c r="F52" s="30">
        <v>2011</v>
      </c>
      <c r="I52" s="19">
        <f aca="true" t="shared" si="12" ref="I52:Y52">+G42</f>
        <v>719211.0494253136</v>
      </c>
      <c r="J52" s="19">
        <f t="shared" si="12"/>
        <v>176346.03962543173</v>
      </c>
      <c r="K52" s="19">
        <f t="shared" si="12"/>
        <v>71899.8328026489</v>
      </c>
      <c r="L52" s="19">
        <f t="shared" si="12"/>
        <v>38715.29458604171</v>
      </c>
      <c r="M52" s="19">
        <f t="shared" si="12"/>
        <v>22548.46827538705</v>
      </c>
      <c r="N52" s="19">
        <f t="shared" si="12"/>
        <v>13614.16952476184</v>
      </c>
      <c r="O52" s="19">
        <f t="shared" si="12"/>
        <v>8508.85595297621</v>
      </c>
      <c r="P52" s="19">
        <f t="shared" si="12"/>
        <v>5105.313571785749</v>
      </c>
      <c r="Q52" s="19">
        <f t="shared" si="12"/>
        <v>2978.099583541697</v>
      </c>
      <c r="R52" s="19">
        <f t="shared" si="12"/>
        <v>1701.7711905951712</v>
      </c>
      <c r="S52" s="19">
        <f t="shared" si="12"/>
        <v>1276.3283929464078</v>
      </c>
      <c r="T52" s="19">
        <f t="shared" si="12"/>
        <v>850.8855952976446</v>
      </c>
      <c r="U52" s="19">
        <f t="shared" si="12"/>
        <v>0</v>
      </c>
      <c r="V52" s="19">
        <f t="shared" si="12"/>
        <v>425.44279764888137</v>
      </c>
      <c r="W52" s="19">
        <f t="shared" si="12"/>
        <v>0</v>
      </c>
      <c r="X52" s="19">
        <f t="shared" si="12"/>
        <v>425.44279764876325</v>
      </c>
      <c r="Y52" s="19">
        <f t="shared" si="12"/>
        <v>0</v>
      </c>
    </row>
    <row r="53" spans="6:26" ht="12.75">
      <c r="F53" s="30">
        <v>2012</v>
      </c>
      <c r="J53" s="19">
        <f aca="true" t="shared" si="13" ref="J53:Z53">+G43</f>
        <v>851769.0147539157</v>
      </c>
      <c r="K53" s="19">
        <f t="shared" si="13"/>
        <v>278457.3162705308</v>
      </c>
      <c r="L53" s="19">
        <f t="shared" si="13"/>
        <v>136739.8177690199</v>
      </c>
      <c r="M53" s="19">
        <f t="shared" si="13"/>
        <v>78471.67272397708</v>
      </c>
      <c r="N53" s="19">
        <f t="shared" si="13"/>
        <v>46555.955086240065</v>
      </c>
      <c r="O53" s="19">
        <f t="shared" si="13"/>
        <v>28109.255901126126</v>
      </c>
      <c r="P53" s="19">
        <f t="shared" si="13"/>
        <v>17568.284938203848</v>
      </c>
      <c r="Q53" s="19">
        <f t="shared" si="13"/>
        <v>10540.970962922276</v>
      </c>
      <c r="R53" s="19">
        <f t="shared" si="13"/>
        <v>6148.899728371314</v>
      </c>
      <c r="S53" s="19">
        <f t="shared" si="13"/>
        <v>3513.656987640867</v>
      </c>
      <c r="T53" s="19">
        <f t="shared" si="13"/>
        <v>2635.2427407306095</v>
      </c>
      <c r="U53" s="19">
        <f t="shared" si="13"/>
        <v>1756.8284938203524</v>
      </c>
      <c r="V53" s="19">
        <f t="shared" si="13"/>
        <v>0</v>
      </c>
      <c r="W53" s="19">
        <f t="shared" si="13"/>
        <v>878.4142469100949</v>
      </c>
      <c r="X53" s="19">
        <f t="shared" si="13"/>
        <v>0</v>
      </c>
      <c r="Y53" s="19">
        <f t="shared" si="13"/>
        <v>878.4142469102574</v>
      </c>
      <c r="Z53" s="19">
        <f t="shared" si="13"/>
        <v>0</v>
      </c>
    </row>
    <row r="54" spans="6:27" ht="12.75">
      <c r="F54" s="30">
        <v>2013</v>
      </c>
      <c r="K54" s="19">
        <f aca="true" t="shared" si="14" ref="K54:AA54">+G44</f>
        <v>979169.9877238419</v>
      </c>
      <c r="L54" s="19">
        <f t="shared" si="14"/>
        <v>431124.08569047274</v>
      </c>
      <c r="M54" s="19">
        <f t="shared" si="14"/>
        <v>239468.73725211743</v>
      </c>
      <c r="N54" s="19">
        <f t="shared" si="14"/>
        <v>142234.78689135818</v>
      </c>
      <c r="O54" s="19">
        <f t="shared" si="14"/>
        <v>85180.15486149136</v>
      </c>
      <c r="P54" s="19">
        <f t="shared" si="14"/>
        <v>51429.527463541875</v>
      </c>
      <c r="Q54" s="19">
        <f t="shared" si="14"/>
        <v>32143.454664713754</v>
      </c>
      <c r="R54" s="19">
        <f t="shared" si="14"/>
        <v>19286.072798828343</v>
      </c>
      <c r="S54" s="19">
        <f t="shared" si="14"/>
        <v>11250.20913264968</v>
      </c>
      <c r="T54" s="19">
        <f t="shared" si="14"/>
        <v>6428.690932942706</v>
      </c>
      <c r="U54" s="19">
        <f t="shared" si="14"/>
        <v>4821.518199707197</v>
      </c>
      <c r="V54" s="19">
        <f t="shared" si="14"/>
        <v>3214.3454664712417</v>
      </c>
      <c r="W54" s="19">
        <f t="shared" si="14"/>
        <v>0</v>
      </c>
      <c r="X54" s="19">
        <f t="shared" si="14"/>
        <v>1607.1727332357323</v>
      </c>
      <c r="Y54" s="19">
        <f t="shared" si="14"/>
        <v>0</v>
      </c>
      <c r="Z54" s="19">
        <f t="shared" si="14"/>
        <v>1607.1727332357323</v>
      </c>
      <c r="AA54" s="19">
        <f t="shared" si="14"/>
        <v>0</v>
      </c>
    </row>
    <row r="55" spans="6:28" ht="12.75">
      <c r="F55" s="30">
        <v>2014</v>
      </c>
      <c r="L55" s="19">
        <f aca="true" t="shared" si="15" ref="L55:AB55">+G45</f>
        <v>1080400.722908044</v>
      </c>
      <c r="M55" s="19">
        <f t="shared" si="15"/>
        <v>657037.589758327</v>
      </c>
      <c r="N55" s="19">
        <f t="shared" si="15"/>
        <v>398621.1318617466</v>
      </c>
      <c r="O55" s="19">
        <f t="shared" si="15"/>
        <v>241921.79037126678</v>
      </c>
      <c r="P55" s="19">
        <f t="shared" si="15"/>
        <v>145702.89647360402</v>
      </c>
      <c r="Q55" s="19">
        <f t="shared" si="15"/>
        <v>87971.5601350059</v>
      </c>
      <c r="R55" s="19">
        <f t="shared" si="15"/>
        <v>54982.22508437888</v>
      </c>
      <c r="S55" s="19">
        <f t="shared" si="15"/>
        <v>32989.33505062733</v>
      </c>
      <c r="T55" s="19">
        <f t="shared" si="15"/>
        <v>19243.778779532608</v>
      </c>
      <c r="U55" s="19">
        <f t="shared" si="15"/>
        <v>10996.445016875776</v>
      </c>
      <c r="V55" s="19">
        <f t="shared" si="15"/>
        <v>8247.333762656832</v>
      </c>
      <c r="W55" s="19">
        <f t="shared" si="15"/>
        <v>5498.222508437888</v>
      </c>
      <c r="X55" s="19">
        <f t="shared" si="15"/>
        <v>0</v>
      </c>
      <c r="Y55" s="19">
        <f t="shared" si="15"/>
        <v>2749.111254218944</v>
      </c>
      <c r="Z55" s="19">
        <f t="shared" si="15"/>
        <v>0</v>
      </c>
      <c r="AA55" s="19">
        <f t="shared" si="15"/>
        <v>2749.111254218944</v>
      </c>
      <c r="AB55" s="19">
        <f t="shared" si="15"/>
        <v>0</v>
      </c>
    </row>
    <row r="56" spans="7:25" ht="12.75">
      <c r="G56" s="19">
        <f>SUM(G50:G55)</f>
        <v>351493.3256007904</v>
      </c>
      <c r="H56" s="19">
        <f aca="true" t="shared" si="16" ref="H56:Y56">SUM(H50:H55)</f>
        <v>640929.8511466394</v>
      </c>
      <c r="I56" s="19">
        <f t="shared" si="16"/>
        <v>834595.2149818423</v>
      </c>
      <c r="J56" s="19">
        <f t="shared" si="16"/>
        <v>1061115.1022110675</v>
      </c>
      <c r="K56" s="19">
        <f t="shared" si="16"/>
        <v>1344311.7552854507</v>
      </c>
      <c r="L56" s="19">
        <f t="shared" si="16"/>
        <v>1695142.262410732</v>
      </c>
      <c r="M56" s="19">
        <f t="shared" si="16"/>
        <v>1002454.6741726182</v>
      </c>
      <c r="N56" s="19">
        <f t="shared" si="16"/>
        <v>604106.1722158628</v>
      </c>
      <c r="O56" s="19">
        <f t="shared" si="16"/>
        <v>365568.1343979141</v>
      </c>
      <c r="P56" s="19">
        <f t="shared" si="16"/>
        <v>220884.06754525017</v>
      </c>
      <c r="Q56" s="19">
        <f t="shared" si="16"/>
        <v>134250.11111653486</v>
      </c>
      <c r="R56" s="19">
        <f t="shared" si="16"/>
        <v>82580.98812993706</v>
      </c>
      <c r="S56" s="19">
        <f t="shared" si="16"/>
        <v>49337.542449039945</v>
      </c>
      <c r="T56" s="19">
        <f t="shared" si="16"/>
        <v>29158.59804850357</v>
      </c>
      <c r="U56" s="19">
        <f t="shared" si="16"/>
        <v>17728.798152991112</v>
      </c>
      <c r="V56" s="19">
        <f t="shared" si="16"/>
        <v>11887.122026776955</v>
      </c>
      <c r="W56" s="19">
        <f t="shared" si="16"/>
        <v>6530.64319793577</v>
      </c>
      <c r="X56" s="19">
        <f t="shared" si="16"/>
        <v>2032.6155308844955</v>
      </c>
      <c r="Y56" s="19">
        <f t="shared" si="16"/>
        <v>3627.525501129201</v>
      </c>
    </row>
    <row r="57" spans="6:12" ht="12.75">
      <c r="F57" t="s">
        <v>46</v>
      </c>
      <c r="G57" s="19">
        <f>SUM(H50:X50)</f>
        <v>54857.33983364938</v>
      </c>
      <c r="H57" s="19">
        <f>SUM(I50:X51)</f>
        <v>183959.70162603148</v>
      </c>
      <c r="I57" s="19">
        <f>SUM(J50:Z52)</f>
        <v>412971.48076621466</v>
      </c>
      <c r="J57" s="19">
        <f>SUM(K50:Z53)</f>
        <v>815880.1234054666</v>
      </c>
      <c r="K57" s="19">
        <f>SUM(L50:AB54)</f>
        <v>1480534.2846646234</v>
      </c>
      <c r="L57" s="19">
        <f>SUM(M50:AB55)</f>
        <v>2534503.276472833</v>
      </c>
    </row>
    <row r="60" spans="7:25" ht="12.75">
      <c r="G60" s="73" t="s">
        <v>54</v>
      </c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</row>
    <row r="61" spans="7:25" ht="12.75">
      <c r="G61" s="18">
        <v>2009</v>
      </c>
      <c r="H61" s="18">
        <v>2010</v>
      </c>
      <c r="I61" s="18">
        <v>2011</v>
      </c>
      <c r="J61" s="18">
        <v>2012</v>
      </c>
      <c r="K61" s="18">
        <v>2013</v>
      </c>
      <c r="L61" s="18">
        <v>2014</v>
      </c>
      <c r="M61" s="18">
        <v>2015</v>
      </c>
      <c r="N61" s="18">
        <v>2016</v>
      </c>
      <c r="O61" s="18">
        <v>2017</v>
      </c>
      <c r="P61" s="18">
        <v>2018</v>
      </c>
      <c r="Q61" s="18">
        <v>2019</v>
      </c>
      <c r="R61" s="18">
        <v>2020</v>
      </c>
      <c r="S61" s="18">
        <v>2021</v>
      </c>
      <c r="T61" s="18">
        <v>2022</v>
      </c>
      <c r="U61" s="18">
        <v>2023</v>
      </c>
      <c r="V61" s="18">
        <v>2024</v>
      </c>
      <c r="W61" s="18">
        <v>2025</v>
      </c>
      <c r="X61" s="18">
        <v>2026</v>
      </c>
      <c r="Y61" s="18">
        <v>2027</v>
      </c>
    </row>
    <row r="62" spans="6:25" ht="12.75">
      <c r="F62" s="30">
        <v>2009</v>
      </c>
      <c r="G62" s="19">
        <f>+G50*(1+'P &amp; L'!$C$10)^('Claims Triangles'!G$61-'Claims Triangles'!$F62)</f>
        <v>351493.3256007904</v>
      </c>
      <c r="H62" s="19">
        <f>+H50*(1+'P &amp; L'!$C$10)^('Claims Triangles'!H$61-'Claims Triangles'!$F62)</f>
        <v>49444.74897006263</v>
      </c>
      <c r="I62" s="19">
        <f>+I50*(1+'P &amp; L'!$C$10)^('Claims Triangles'!I$61-'Claims Triangles'!$F62)</f>
        <v>7032.142075742248</v>
      </c>
      <c r="J62" s="19">
        <f>+J50*(1+'P &amp; L'!$C$10)^('Claims Triangles'!J$61-'Claims Triangles'!$F62)</f>
        <v>914.1784698464922</v>
      </c>
      <c r="K62" s="19">
        <f>+K50*(1+'P &amp; L'!$C$10)^('Claims Triangles'!K$61-'Claims Triangles'!$F62)</f>
        <v>0</v>
      </c>
      <c r="L62" s="19">
        <f>+L50*(1+'P &amp; L'!$C$10)^('Claims Triangles'!L$61-'Claims Triangles'!$F62)</f>
        <v>0</v>
      </c>
      <c r="M62" s="19">
        <f>+M50*(1+'P &amp; L'!$C$10)^('Claims Triangles'!M$61-'Claims Triangles'!$F62)</f>
        <v>0</v>
      </c>
      <c r="N62" s="19">
        <f>+N50*(1+'P &amp; L'!$C$10)^('Claims Triangles'!N$61-'Claims Triangles'!$F62)</f>
        <v>0</v>
      </c>
      <c r="O62" s="19">
        <f>+O50*(1+'P &amp; L'!$C$10)^('Claims Triangles'!O$61-'Claims Triangles'!$F62)</f>
        <v>0</v>
      </c>
      <c r="P62" s="19">
        <f>+P50*(1+'P &amp; L'!$C$10)^('Claims Triangles'!P$61-'Claims Triangles'!$F62)</f>
        <v>0</v>
      </c>
      <c r="Q62" s="19">
        <f>+Q50*(1+'P &amp; L'!$C$10)^('Claims Triangles'!Q$61-'Claims Triangles'!$F62)</f>
        <v>0</v>
      </c>
      <c r="R62" s="19">
        <f>+R50*(1+'P &amp; L'!$C$10)^('Claims Triangles'!R$61-'Claims Triangles'!$F62)</f>
        <v>0</v>
      </c>
      <c r="S62" s="19">
        <f>+S50*(1+'P &amp; L'!$C$10)^('Claims Triangles'!S$61-'Claims Triangles'!$F62)</f>
        <v>0</v>
      </c>
      <c r="T62" s="19">
        <f>+T50*(1+'P &amp; L'!$C$10)^('Claims Triangles'!T$61-'Claims Triangles'!$F62)</f>
        <v>0</v>
      </c>
      <c r="U62" s="19">
        <f>+U50*(1+'P &amp; L'!$C$10)^('Claims Triangles'!U$61-'Claims Triangles'!$F62)</f>
        <v>0</v>
      </c>
      <c r="V62" s="19">
        <f>+V50*(1+'P &amp; L'!$C$10)^('Claims Triangles'!V$61-'Claims Triangles'!$F62)</f>
        <v>0</v>
      </c>
      <c r="W62" s="19">
        <f>+W50*(1+'P &amp; L'!$C$10)^('Claims Triangles'!W$61-'Claims Triangles'!$F62)</f>
        <v>0</v>
      </c>
      <c r="X62" s="19">
        <f>+X50*(1+'P &amp; L'!$C$10)^('Claims Triangles'!X$61-'Claims Triangles'!$F62)</f>
        <v>0</v>
      </c>
      <c r="Y62" s="19">
        <f>+Y50*(1+'P &amp; L'!$C$10)^('Claims Triangles'!Y$61-'Claims Triangles'!$F62)</f>
        <v>0</v>
      </c>
    </row>
    <row r="63" spans="6:25" ht="12.75">
      <c r="F63" s="30">
        <v>2010</v>
      </c>
      <c r="H63" s="19">
        <f>+H51*(1+'P &amp; L'!$C$10)^('Claims Triangles'!H$61-'Claims Triangles'!$F63)</f>
        <v>593386.82329081</v>
      </c>
      <c r="I63" s="19">
        <f>+I51*(1+'P &amp; L'!$C$10)^('Claims Triangles'!I$61-'Claims Triangles'!$F63)</f>
        <v>113237.85710596075</v>
      </c>
      <c r="J63" s="19">
        <f>+J51*(1+'P &amp; L'!$C$10)^('Claims Triangles'!J$61-'Claims Triangles'!$F63)</f>
        <v>34813.83397532061</v>
      </c>
      <c r="K63" s="19">
        <f>+K51*(1+'P &amp; L'!$C$10)^('Claims Triangles'!K$61-'Claims Triangles'!$F63)</f>
        <v>16630.68509136844</v>
      </c>
      <c r="L63" s="19">
        <f>+L51*(1+'P &amp; L'!$C$10)^('Claims Triangles'!L$61-'Claims Triangles'!$F63)</f>
        <v>9548.785023294096</v>
      </c>
      <c r="M63" s="19">
        <f>+M51*(1+'P &amp; L'!$C$10)^('Claims Triangles'!M$61-'Claims Triangles'!$F63)</f>
        <v>5995.916331608001</v>
      </c>
      <c r="N63" s="19">
        <f>+N51*(1+'P &amp; L'!$C$10)^('Claims Triangles'!N$61-'Claims Triangles'!$F63)</f>
        <v>3897.3456155452277</v>
      </c>
      <c r="O63" s="19">
        <f>+O51*(1+'P &amp; L'!$C$10)^('Claims Triangles'!O$61-'Claims Triangles'!$F63)</f>
        <v>2431.943664100177</v>
      </c>
      <c r="P63" s="19">
        <f>+P51*(1+'P &amp; L'!$C$10)^('Claims Triangles'!P$61-'Claims Triangles'!$F63)</f>
        <v>1475.3791562208717</v>
      </c>
      <c r="Q63" s="19">
        <f>+Q51*(1+'P &amp; L'!$C$10)^('Claims Triangles'!Q$61-'Claims Triangles'!$F63)</f>
        <v>876.7967556969579</v>
      </c>
      <c r="R63" s="19">
        <f>+R51*(1+'P &amp; L'!$C$10)^('Claims Triangles'!R$61-'Claims Triangles'!$F63)</f>
        <v>683.9014694435323</v>
      </c>
      <c r="S63" s="19">
        <f>+S51*(1+'P &amp; L'!$C$10)^('Claims Triangles'!S$61-'Claims Triangles'!$F63)</f>
        <v>474.1716854809806</v>
      </c>
      <c r="T63" s="19">
        <f>+T51*(1+'P &amp; L'!$C$10)^('Claims Triangles'!T$61-'Claims Triangles'!$F63)</f>
        <v>0</v>
      </c>
      <c r="U63" s="19">
        <f>+U51*(1+'P &amp; L'!$C$10)^('Claims Triangles'!U$61-'Claims Triangles'!$F63)</f>
        <v>256.4320475080432</v>
      </c>
      <c r="V63" s="19">
        <f>+V51*(1+'P &amp; L'!$C$10)^('Claims Triangles'!V$61-'Claims Triangles'!$F63)</f>
        <v>0</v>
      </c>
      <c r="W63" s="19">
        <f>+W51*(1+'P &amp; L'!$C$10)^('Claims Triangles'!W$61-'Claims Triangles'!$F63)</f>
        <v>277.3569025846995</v>
      </c>
      <c r="X63" s="19">
        <f>+X51*(1+'P &amp; L'!$C$10)^('Claims Triangles'!X$61-'Claims Triangles'!$F63)</f>
        <v>0</v>
      </c>
      <c r="Y63" s="19">
        <f>+Y51*(1+'P &amp; L'!$C$10)^('Claims Triangles'!Y$61-'Claims Triangles'!$F63)</f>
        <v>0</v>
      </c>
    </row>
    <row r="64" spans="6:25" ht="12.75">
      <c r="F64" s="30">
        <v>2011</v>
      </c>
      <c r="I64" s="19">
        <f>+I52*(1+'P &amp; L'!$C$10)^('Claims Triangles'!I$61-'Claims Triangles'!$F64)</f>
        <v>719211.0494253136</v>
      </c>
      <c r="J64" s="19">
        <f>+J52*(1+'P &amp; L'!$C$10)^('Claims Triangles'!J$61-'Claims Triangles'!$F64)</f>
        <v>183399.881210449</v>
      </c>
      <c r="K64" s="19">
        <f>+K52*(1+'P &amp; L'!$C$10)^('Claims Triangles'!K$61-'Claims Triangles'!$F64)</f>
        <v>77766.85915934507</v>
      </c>
      <c r="L64" s="19">
        <f>+L52*(1+'P &amp; L'!$C$10)^('Claims Triangles'!L$61-'Claims Triangles'!$F64)</f>
        <v>43549.44112923322</v>
      </c>
      <c r="M64" s="19">
        <f>+M52*(1+'P &amp; L'!$C$10)^('Claims Triangles'!M$61-'Claims Triangles'!$F64)</f>
        <v>26378.518626849986</v>
      </c>
      <c r="N64" s="19">
        <f>+N52*(1+'P &amp; L'!$C$10)^('Claims Triangles'!N$61-'Claims Triangles'!$F64)</f>
        <v>16563.718866067127</v>
      </c>
      <c r="O64" s="19">
        <f>+O52*(1+'P &amp; L'!$C$10)^('Claims Triangles'!O$61-'Claims Triangles'!$F64)</f>
        <v>10766.417262943707</v>
      </c>
      <c r="P64" s="19">
        <f>+P52*(1+'P &amp; L'!$C$10)^('Claims Triangles'!P$61-'Claims Triangles'!$F64)</f>
        <v>6718.244372076904</v>
      </c>
      <c r="Q64" s="19">
        <f>+Q52*(1+'P &amp; L'!$C$10)^('Claims Triangles'!Q$61-'Claims Triangles'!$F64)</f>
        <v>4075.7349190600025</v>
      </c>
      <c r="R64" s="19">
        <f>+R52*(1+'P &amp; L'!$C$10)^('Claims Triangles'!R$61-'Claims Triangles'!$F64)</f>
        <v>2422.1510376126816</v>
      </c>
      <c r="S64" s="19">
        <f>+S52*(1+'P &amp; L'!$C$10)^('Claims Triangles'!S$61-'Claims Triangles'!$F64)</f>
        <v>1889.2778093379354</v>
      </c>
      <c r="T64" s="19">
        <f>+T52*(1+'P &amp; L'!$C$10)^('Claims Triangles'!T$61-'Claims Triangles'!$F64)</f>
        <v>1309.8992811410292</v>
      </c>
      <c r="U64" s="19">
        <f>+U52*(1+'P &amp; L'!$C$10)^('Claims Triangles'!U$61-'Claims Triangles'!$F64)</f>
        <v>0</v>
      </c>
      <c r="V64" s="19">
        <f>+V52*(1+'P &amp; L'!$C$10)^('Claims Triangles'!V$61-'Claims Triangles'!$F64)</f>
        <v>708.393531241167</v>
      </c>
      <c r="W64" s="19">
        <f>+W52*(1+'P &amp; L'!$C$10)^('Claims Triangles'!W$61-'Claims Triangles'!$F64)</f>
        <v>0</v>
      </c>
      <c r="X64" s="19">
        <f>+X52*(1+'P &amp; L'!$C$10)^('Claims Triangles'!X$61-'Claims Triangles'!$F64)</f>
        <v>766.1984433902335</v>
      </c>
      <c r="Y64" s="19">
        <f>+Y52*(1+'P &amp; L'!$C$10)^('Claims Triangles'!Y$61-'Claims Triangles'!$F64)</f>
        <v>0</v>
      </c>
    </row>
    <row r="65" spans="6:26" ht="12.75">
      <c r="F65" s="30">
        <v>2012</v>
      </c>
      <c r="J65" s="19">
        <f>+J53*(1+'P &amp; L'!$C$10)^('Claims Triangles'!J$61-'Claims Triangles'!$F65)</f>
        <v>851769.0147539157</v>
      </c>
      <c r="K65" s="19">
        <f>+K53*(1+'P &amp; L'!$C$10)^('Claims Triangles'!K$61-'Claims Triangles'!$F65)</f>
        <v>289595.6089213521</v>
      </c>
      <c r="L65" s="19">
        <f>+L53*(1+'P &amp; L'!$C$10)^('Claims Triangles'!L$61-'Claims Triangles'!$F65)</f>
        <v>147897.78689897194</v>
      </c>
      <c r="M65" s="19">
        <f>+M53*(1+'P &amp; L'!$C$10)^('Claims Triangles'!M$61-'Claims Triangles'!$F65)</f>
        <v>88269.95966698376</v>
      </c>
      <c r="N65" s="19">
        <f>+N53*(1+'P &amp; L'!$C$10)^('Claims Triangles'!N$61-'Claims Triangles'!$F65)</f>
        <v>54463.88257661349</v>
      </c>
      <c r="O65" s="19">
        <f>+O53*(1+'P &amp; L'!$C$10)^('Claims Triangles'!O$61-'Claims Triangles'!$F65)</f>
        <v>34199.207776409436</v>
      </c>
      <c r="P65" s="19">
        <f>+P53*(1+'P &amp; L'!$C$10)^('Claims Triangles'!P$61-'Claims Triangles'!$F65)</f>
        <v>22229.48505466616</v>
      </c>
      <c r="Q65" s="19">
        <f>+Q53*(1+'P &amp; L'!$C$10)^('Claims Triangles'!Q$61-'Claims Triangles'!$F65)</f>
        <v>13871.19867411164</v>
      </c>
      <c r="R65" s="19">
        <f>+R53*(1+'P &amp; L'!$C$10)^('Claims Triangles'!R$61-'Claims Triangles'!$F65)</f>
        <v>8415.193862294378</v>
      </c>
      <c r="S65" s="19">
        <f>+S53*(1+'P &amp; L'!$C$10)^('Claims Triangles'!S$61-'Claims Triangles'!$F65)</f>
        <v>5001.029495306539</v>
      </c>
      <c r="T65" s="19">
        <f>+T53*(1+'P &amp; L'!$C$10)^('Claims Triangles'!T$61-'Claims Triangles'!$F65)</f>
        <v>3900.8030063390397</v>
      </c>
      <c r="U65" s="19">
        <f>+U53*(1+'P &amp; L'!$C$10)^('Claims Triangles'!U$61-'Claims Triangles'!$F65)</f>
        <v>2704.556751061651</v>
      </c>
      <c r="V65" s="19">
        <f>+V53*(1+'P &amp; L'!$C$10)^('Claims Triangles'!V$61-'Claims Triangles'!$F65)</f>
        <v>0</v>
      </c>
      <c r="W65" s="19">
        <f>+W53*(1+'P &amp; L'!$C$10)^('Claims Triangles'!W$61-'Claims Triangles'!$F65)</f>
        <v>1462.6242909740058</v>
      </c>
      <c r="X65" s="19">
        <f>+X53*(1+'P &amp; L'!$C$10)^('Claims Triangles'!X$61-'Claims Triangles'!$F65)</f>
        <v>0</v>
      </c>
      <c r="Y65" s="19">
        <f>+Y53*(1+'P &amp; L'!$C$10)^('Claims Triangles'!Y$61-'Claims Triangles'!$F65)</f>
        <v>1581.9744331177772</v>
      </c>
      <c r="Z65" s="19">
        <f>+Z53*(1+'P &amp; L'!$C$10)^('Claims Triangles'!Z$61-'Claims Triangles'!$F65)</f>
        <v>0</v>
      </c>
    </row>
    <row r="66" spans="6:28" ht="12.75">
      <c r="F66" s="30">
        <v>2013</v>
      </c>
      <c r="K66" s="19">
        <f>+K54*(1+'P &amp; L'!$C$10)^('Claims Triangles'!K$61-'Claims Triangles'!$F66)</f>
        <v>979169.9877238419</v>
      </c>
      <c r="L66" s="19">
        <f>+L54*(1+'P &amp; L'!$C$10)^('Claims Triangles'!L$61-'Claims Triangles'!$F66)</f>
        <v>448369.04911809164</v>
      </c>
      <c r="M66" s="19">
        <f>+M54*(1+'P &amp; L'!$C$10)^('Claims Triangles'!M$61-'Claims Triangles'!$F66)</f>
        <v>259009.38621189023</v>
      </c>
      <c r="N66" s="19">
        <f>+N54*(1+'P &amp; L'!$C$10)^('Claims Triangles'!N$61-'Claims Triangles'!$F66)</f>
        <v>159994.79132176074</v>
      </c>
      <c r="O66" s="19">
        <f>+O54*(1+'P &amp; L'!$C$10)^('Claims Triangles'!O$61-'Claims Triangles'!$F66)</f>
        <v>99648.7333068413</v>
      </c>
      <c r="P66" s="19">
        <f>+P54*(1+'P &amp; L'!$C$10)^('Claims Triangles'!P$61-'Claims Triangles'!$F66)</f>
        <v>62571.88385757875</v>
      </c>
      <c r="Q66" s="19">
        <f>+Q54*(1+'P &amp; L'!$C$10)^('Claims Triangles'!Q$61-'Claims Triangles'!$F66)</f>
        <v>40671.72450742629</v>
      </c>
      <c r="R66" s="19">
        <f>+R54*(1+'P &amp; L'!$C$10)^('Claims Triangles'!R$61-'Claims Triangles'!$F66)</f>
        <v>25379.156092634123</v>
      </c>
      <c r="S66" s="19">
        <f>+S54*(1+'P &amp; L'!$C$10)^('Claims Triangles'!S$61-'Claims Triangles'!$F66)</f>
        <v>15396.688029531115</v>
      </c>
      <c r="T66" s="19">
        <f>+T54*(1+'P &amp; L'!$C$10)^('Claims Triangles'!T$61-'Claims Triangles'!$F66)</f>
        <v>9150.031743264251</v>
      </c>
      <c r="U66" s="19">
        <f>+U54*(1+'P &amp; L'!$C$10)^('Claims Triangles'!U$61-'Claims Triangles'!$F66)</f>
        <v>7137.024759746364</v>
      </c>
      <c r="V66" s="19">
        <f>+V54*(1+'P &amp; L'!$C$10)^('Claims Triangles'!V$61-'Claims Triangles'!$F66)</f>
        <v>4948.3371667571355</v>
      </c>
      <c r="W66" s="19">
        <f>+W54*(1+'P &amp; L'!$C$10)^('Claims Triangles'!W$61-'Claims Triangles'!$F66)</f>
        <v>0</v>
      </c>
      <c r="X66" s="19">
        <f>+X54*(1+'P &amp; L'!$C$10)^('Claims Triangles'!X$61-'Claims Triangles'!$F66)</f>
        <v>2676.060739782445</v>
      </c>
      <c r="Y66" s="19">
        <f>+Y54*(1+'P &amp; L'!$C$10)^('Claims Triangles'!Y$61-'Claims Triangles'!$F66)</f>
        <v>0</v>
      </c>
      <c r="Z66" s="19">
        <f>+Z54*(1+'P &amp; L'!$C$10)^('Claims Triangles'!Z$61-'Claims Triangles'!$F66)</f>
        <v>8.278478920167384E-32</v>
      </c>
      <c r="AA66" s="19">
        <f>+AA54*(1+'P &amp; L'!$C$10)^('Claims Triangles'!AA$61-'Claims Triangles'!$F66)</f>
        <v>0</v>
      </c>
      <c r="AB66" s="19"/>
    </row>
    <row r="67" spans="6:28" ht="12.75">
      <c r="F67" s="30">
        <v>2014</v>
      </c>
      <c r="L67" s="19">
        <f>+L55*(1+'P &amp; L'!$C$10)^('Claims Triangles'!L$61-'Claims Triangles'!$F67)</f>
        <v>1080400.722908044</v>
      </c>
      <c r="M67" s="19">
        <f>+M55*(1+'P &amp; L'!$C$10)^('Claims Triangles'!M$61-'Claims Triangles'!$F67)</f>
        <v>683319.0933486602</v>
      </c>
      <c r="N67" s="19">
        <f>+N55*(1+'P &amp; L'!$C$10)^('Claims Triangles'!N$61-'Claims Triangles'!$F67)</f>
        <v>431148.6162216652</v>
      </c>
      <c r="O67" s="19">
        <f>+O55*(1+'P &amp; L'!$C$10)^('Claims Triangles'!O$61-'Claims Triangles'!$F67)</f>
        <v>272129.11280418467</v>
      </c>
      <c r="P67" s="19">
        <f>+P55*(1+'P &amp; L'!$C$10)^('Claims Triangles'!P$61-'Claims Triangles'!$F67)</f>
        <v>170451.7806564395</v>
      </c>
      <c r="Q67" s="19">
        <f>+Q55*(1+'P &amp; L'!$C$10)^('Claims Triangles'!Q$61-'Claims Triangles'!$F67)</f>
        <v>107030.85396691109</v>
      </c>
      <c r="R67" s="19">
        <f>+R55*(1+'P &amp; L'!$C$10)^('Claims Triangles'!R$61-'Claims Triangles'!$F67)</f>
        <v>69570.05507849246</v>
      </c>
      <c r="S67" s="19">
        <f>+S55*(1+'P &amp; L'!$C$10)^('Claims Triangles'!S$61-'Claims Triangles'!$F67)</f>
        <v>43411.71436897929</v>
      </c>
      <c r="T67" s="19">
        <f>+T55*(1+'P &amp; L'!$C$10)^('Claims Triangles'!T$61-'Claims Triangles'!$F67)</f>
        <v>26336.440050514106</v>
      </c>
      <c r="U67" s="19">
        <f>+U55*(1+'P &amp; L'!$C$10)^('Claims Triangles'!U$61-'Claims Triangles'!$F67)</f>
        <v>15651.37008716267</v>
      </c>
      <c r="V67" s="19">
        <f>+V55*(1+'P &amp; L'!$C$10)^('Claims Triangles'!V$61-'Claims Triangles'!$F67)</f>
        <v>12208.068667986883</v>
      </c>
      <c r="W67" s="19">
        <f>+W55*(1+'P &amp; L'!$C$10)^('Claims Triangles'!W$61-'Claims Triangles'!$F67)</f>
        <v>8464.260943137571</v>
      </c>
      <c r="X67" s="19">
        <f>+X55*(1+'P &amp; L'!$C$10)^('Claims Triangles'!X$61-'Claims Triangles'!$F67)</f>
        <v>0</v>
      </c>
      <c r="Y67" s="19">
        <f>+Y55*(1+'P &amp; L'!$C$10)^('Claims Triangles'!Y$61-'Claims Triangles'!$F67)</f>
        <v>4577.4723180488</v>
      </c>
      <c r="Z67" s="19">
        <f>+Z55*(1+'P &amp; L'!$C$10)^('Claims Triangles'!Z$61-'Claims Triangles'!$F67)</f>
        <v>0</v>
      </c>
      <c r="AA67" s="19">
        <f>+AA55*(1+'P &amp; L'!$C$10)^('Claims Triangles'!AA$61-'Claims Triangles'!$F67)</f>
        <v>1.3615919276590739E-31</v>
      </c>
      <c r="AB67" s="19">
        <f>+AB55*(1+'P &amp; L'!$C$10)^('Claims Triangles'!AB$61-'Claims Triangles'!$F67)</f>
        <v>0</v>
      </c>
    </row>
    <row r="68" spans="7:25" ht="12.75">
      <c r="G68" s="19">
        <f aca="true" t="shared" si="17" ref="G68:Y68">SUM(G62:G67)</f>
        <v>351493.3256007904</v>
      </c>
      <c r="H68" s="19">
        <f t="shared" si="17"/>
        <v>642831.5722608726</v>
      </c>
      <c r="I68" s="19">
        <f t="shared" si="17"/>
        <v>839481.0486070166</v>
      </c>
      <c r="J68" s="19">
        <f t="shared" si="17"/>
        <v>1070896.9084095317</v>
      </c>
      <c r="K68" s="19">
        <f t="shared" si="17"/>
        <v>1363163.1408959075</v>
      </c>
      <c r="L68" s="19">
        <f t="shared" si="17"/>
        <v>1729765.785077635</v>
      </c>
      <c r="M68" s="19">
        <f t="shared" si="17"/>
        <v>1062972.8741859922</v>
      </c>
      <c r="N68" s="19">
        <f t="shared" si="17"/>
        <v>666068.3546016518</v>
      </c>
      <c r="O68" s="19">
        <f t="shared" si="17"/>
        <v>419175.4148144793</v>
      </c>
      <c r="P68" s="19">
        <f t="shared" si="17"/>
        <v>263446.7730969822</v>
      </c>
      <c r="Q68" s="19">
        <f t="shared" si="17"/>
        <v>166526.308823206</v>
      </c>
      <c r="R68" s="19">
        <f t="shared" si="17"/>
        <v>106470.45754047717</v>
      </c>
      <c r="S68" s="19">
        <f t="shared" si="17"/>
        <v>66172.88138863585</v>
      </c>
      <c r="T68" s="19">
        <f t="shared" si="17"/>
        <v>40697.174081258425</v>
      </c>
      <c r="U68" s="19">
        <f t="shared" si="17"/>
        <v>25749.38364547873</v>
      </c>
      <c r="V68" s="19">
        <f t="shared" si="17"/>
        <v>17864.799365985185</v>
      </c>
      <c r="W68" s="19">
        <f t="shared" si="17"/>
        <v>10204.242136696277</v>
      </c>
      <c r="X68" s="19">
        <f t="shared" si="17"/>
        <v>3442.2591831726786</v>
      </c>
      <c r="Y68" s="19">
        <f t="shared" si="17"/>
        <v>6159.446751166577</v>
      </c>
    </row>
    <row r="69" spans="6:12" ht="12.75">
      <c r="F69" t="s">
        <v>46</v>
      </c>
      <c r="G69" s="19">
        <f>SUM(H62:X62)</f>
        <v>57391.06951565137</v>
      </c>
      <c r="H69" s="19">
        <f>SUM(I62:X63)</f>
        <v>198546.72536972113</v>
      </c>
      <c r="I69" s="19">
        <f>SUM(J62:Z64)</f>
        <v>454591.4618367662</v>
      </c>
      <c r="J69" s="19">
        <f>SUM(K62:Z65)</f>
        <v>909056.879589352</v>
      </c>
      <c r="K69" s="19">
        <f>SUM(L62:AB66)</f>
        <v>1660016.5932725908</v>
      </c>
      <c r="L69" s="19">
        <f>SUM(M62:AB67)</f>
        <v>2854950.369615182</v>
      </c>
    </row>
  </sheetData>
  <sheetProtection/>
  <mergeCells count="18">
    <mergeCell ref="G48:Y48"/>
    <mergeCell ref="G60:Y60"/>
    <mergeCell ref="E42:F42"/>
    <mergeCell ref="E43:F43"/>
    <mergeCell ref="E44:F44"/>
    <mergeCell ref="E45:F45"/>
    <mergeCell ref="C44:D44"/>
    <mergeCell ref="C45:D45"/>
    <mergeCell ref="B3:U3"/>
    <mergeCell ref="C39:D39"/>
    <mergeCell ref="C40:D40"/>
    <mergeCell ref="C41:D41"/>
    <mergeCell ref="E39:F39"/>
    <mergeCell ref="E40:F40"/>
    <mergeCell ref="E41:F41"/>
    <mergeCell ref="G38:Z38"/>
    <mergeCell ref="C42:D42"/>
    <mergeCell ref="C43:D4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4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3.7109375" style="0" bestFit="1" customWidth="1"/>
  </cols>
  <sheetData>
    <row r="3" spans="1:2" ht="18">
      <c r="A3" s="1" t="s">
        <v>6</v>
      </c>
      <c r="B3" s="1">
        <f>+'P &amp; L'!C15</f>
        <v>2</v>
      </c>
    </row>
    <row r="4" spans="1:4" ht="12.75">
      <c r="A4">
        <v>0</v>
      </c>
      <c r="B4">
        <f>ROUND(1/(1+EXP(-$B$3*(A4+0.5))),3)</f>
        <v>0.731</v>
      </c>
      <c r="C4">
        <f>+B4</f>
        <v>0.731</v>
      </c>
      <c r="D4">
        <f>+(A4+0.5)*C4</f>
        <v>0.3655</v>
      </c>
    </row>
    <row r="5" spans="1:4" ht="12.75">
      <c r="A5">
        <v>1</v>
      </c>
      <c r="B5">
        <f aca="true" t="shared" si="0" ref="B5:B24">ROUND(1/(1+EXP(-$B$3*(A5+0.5))),3)</f>
        <v>0.953</v>
      </c>
      <c r="C5">
        <f>+B5-B4</f>
        <v>0.22199999999999998</v>
      </c>
      <c r="D5">
        <f aca="true" t="shared" si="1" ref="D5:D23">+(A5+0.5)*C5</f>
        <v>0.33299999999999996</v>
      </c>
    </row>
    <row r="6" spans="1:4" ht="12.75">
      <c r="A6">
        <v>2</v>
      </c>
      <c r="B6">
        <f t="shared" si="0"/>
        <v>0.993</v>
      </c>
      <c r="C6">
        <f aca="true" t="shared" si="2" ref="C6:C24">+B6-B5</f>
        <v>0.040000000000000036</v>
      </c>
      <c r="D6">
        <f t="shared" si="1"/>
        <v>0.10000000000000009</v>
      </c>
    </row>
    <row r="7" spans="1:4" ht="12.75">
      <c r="A7">
        <v>3</v>
      </c>
      <c r="B7">
        <f t="shared" si="0"/>
        <v>0.999</v>
      </c>
      <c r="C7">
        <f t="shared" si="2"/>
        <v>0.006000000000000005</v>
      </c>
      <c r="D7">
        <f t="shared" si="1"/>
        <v>0.02100000000000002</v>
      </c>
    </row>
    <row r="8" spans="1:4" ht="12.75">
      <c r="A8">
        <v>4</v>
      </c>
      <c r="B8">
        <f t="shared" si="0"/>
        <v>1</v>
      </c>
      <c r="C8">
        <f t="shared" si="2"/>
        <v>0.0010000000000000009</v>
      </c>
      <c r="D8">
        <f t="shared" si="1"/>
        <v>0.004500000000000004</v>
      </c>
    </row>
    <row r="9" spans="1:4" ht="12.75">
      <c r="A9">
        <v>5</v>
      </c>
      <c r="B9">
        <f t="shared" si="0"/>
        <v>1</v>
      </c>
      <c r="C9">
        <f t="shared" si="2"/>
        <v>0</v>
      </c>
      <c r="D9">
        <f t="shared" si="1"/>
        <v>0</v>
      </c>
    </row>
    <row r="10" spans="1:4" ht="12.75">
      <c r="A10">
        <v>6</v>
      </c>
      <c r="B10">
        <f t="shared" si="0"/>
        <v>1</v>
      </c>
      <c r="C10">
        <f t="shared" si="2"/>
        <v>0</v>
      </c>
      <c r="D10">
        <f t="shared" si="1"/>
        <v>0</v>
      </c>
    </row>
    <row r="11" spans="1:4" ht="12.75">
      <c r="A11">
        <v>7</v>
      </c>
      <c r="B11">
        <f t="shared" si="0"/>
        <v>1</v>
      </c>
      <c r="C11">
        <f t="shared" si="2"/>
        <v>0</v>
      </c>
      <c r="D11">
        <f t="shared" si="1"/>
        <v>0</v>
      </c>
    </row>
    <row r="12" spans="1:4" ht="12.75">
      <c r="A12">
        <v>8</v>
      </c>
      <c r="B12">
        <f t="shared" si="0"/>
        <v>1</v>
      </c>
      <c r="C12">
        <f t="shared" si="2"/>
        <v>0</v>
      </c>
      <c r="D12">
        <f t="shared" si="1"/>
        <v>0</v>
      </c>
    </row>
    <row r="13" spans="1:4" ht="12.75">
      <c r="A13">
        <v>9</v>
      </c>
      <c r="B13">
        <f t="shared" si="0"/>
        <v>1</v>
      </c>
      <c r="C13">
        <f t="shared" si="2"/>
        <v>0</v>
      </c>
      <c r="D13">
        <f t="shared" si="1"/>
        <v>0</v>
      </c>
    </row>
    <row r="14" spans="1:4" ht="12.75">
      <c r="A14">
        <v>10</v>
      </c>
      <c r="B14">
        <f t="shared" si="0"/>
        <v>1</v>
      </c>
      <c r="C14">
        <f t="shared" si="2"/>
        <v>0</v>
      </c>
      <c r="D14">
        <f t="shared" si="1"/>
        <v>0</v>
      </c>
    </row>
    <row r="15" spans="1:4" ht="12.75">
      <c r="A15">
        <v>11</v>
      </c>
      <c r="B15">
        <f t="shared" si="0"/>
        <v>1</v>
      </c>
      <c r="C15">
        <f t="shared" si="2"/>
        <v>0</v>
      </c>
      <c r="D15">
        <f t="shared" si="1"/>
        <v>0</v>
      </c>
    </row>
    <row r="16" spans="1:4" ht="12.75">
      <c r="A16">
        <v>12</v>
      </c>
      <c r="B16">
        <f t="shared" si="0"/>
        <v>1</v>
      </c>
      <c r="C16">
        <f t="shared" si="2"/>
        <v>0</v>
      </c>
      <c r="D16">
        <f t="shared" si="1"/>
        <v>0</v>
      </c>
    </row>
    <row r="17" spans="1:4" ht="12.75">
      <c r="A17">
        <v>13</v>
      </c>
      <c r="B17">
        <f t="shared" si="0"/>
        <v>1</v>
      </c>
      <c r="C17">
        <f t="shared" si="2"/>
        <v>0</v>
      </c>
      <c r="D17">
        <f t="shared" si="1"/>
        <v>0</v>
      </c>
    </row>
    <row r="18" spans="1:4" ht="12.75">
      <c r="A18">
        <v>14</v>
      </c>
      <c r="B18">
        <f t="shared" si="0"/>
        <v>1</v>
      </c>
      <c r="C18">
        <f t="shared" si="2"/>
        <v>0</v>
      </c>
      <c r="D18">
        <f t="shared" si="1"/>
        <v>0</v>
      </c>
    </row>
    <row r="19" spans="1:4" ht="12.75">
      <c r="A19">
        <v>15</v>
      </c>
      <c r="B19">
        <f t="shared" si="0"/>
        <v>1</v>
      </c>
      <c r="C19">
        <f t="shared" si="2"/>
        <v>0</v>
      </c>
      <c r="D19">
        <f t="shared" si="1"/>
        <v>0</v>
      </c>
    </row>
    <row r="20" spans="1:4" ht="12.75">
      <c r="A20">
        <v>16</v>
      </c>
      <c r="B20">
        <f t="shared" si="0"/>
        <v>1</v>
      </c>
      <c r="C20">
        <f t="shared" si="2"/>
        <v>0</v>
      </c>
      <c r="D20">
        <f t="shared" si="1"/>
        <v>0</v>
      </c>
    </row>
    <row r="21" spans="1:4" ht="12.75">
      <c r="A21">
        <v>17</v>
      </c>
      <c r="B21">
        <f t="shared" si="0"/>
        <v>1</v>
      </c>
      <c r="C21">
        <f t="shared" si="2"/>
        <v>0</v>
      </c>
      <c r="D21">
        <f t="shared" si="1"/>
        <v>0</v>
      </c>
    </row>
    <row r="22" spans="1:4" ht="12.75">
      <c r="A22">
        <v>18</v>
      </c>
      <c r="B22">
        <f t="shared" si="0"/>
        <v>1</v>
      </c>
      <c r="C22">
        <f t="shared" si="2"/>
        <v>0</v>
      </c>
      <c r="D22">
        <f t="shared" si="1"/>
        <v>0</v>
      </c>
    </row>
    <row r="23" spans="1:4" ht="12.75">
      <c r="A23">
        <v>19</v>
      </c>
      <c r="B23">
        <f t="shared" si="0"/>
        <v>1</v>
      </c>
      <c r="C23">
        <f t="shared" si="2"/>
        <v>0</v>
      </c>
      <c r="D23">
        <f t="shared" si="1"/>
        <v>0</v>
      </c>
    </row>
    <row r="24" spans="1:4" ht="12.75">
      <c r="A24">
        <v>20</v>
      </c>
      <c r="B24">
        <f t="shared" si="0"/>
        <v>1</v>
      </c>
      <c r="C24">
        <f t="shared" si="2"/>
        <v>0</v>
      </c>
      <c r="D24">
        <f>+(A24+0.5)*C24</f>
        <v>0</v>
      </c>
    </row>
    <row r="25" ht="12.75">
      <c r="D25">
        <f>SUM(D4:D24)</f>
        <v>0.8240000000000001</v>
      </c>
    </row>
    <row r="27" spans="1:2" ht="18">
      <c r="A27" s="1" t="s">
        <v>6</v>
      </c>
      <c r="B27" s="1">
        <f>+'P &amp; L'!C19</f>
        <v>0.5</v>
      </c>
    </row>
    <row r="28" spans="1:4" ht="12.75">
      <c r="A28">
        <v>0</v>
      </c>
      <c r="B28">
        <f>ROUND(1/(1+EXP(-$B$27*(A28+0.5))),3)</f>
        <v>0.562</v>
      </c>
      <c r="C28">
        <f>+B28</f>
        <v>0.562</v>
      </c>
      <c r="D28">
        <f>+(A28+0.5)*C28</f>
        <v>0.281</v>
      </c>
    </row>
    <row r="29" spans="1:4" ht="12.75">
      <c r="A29">
        <v>1</v>
      </c>
      <c r="B29">
        <f aca="true" t="shared" si="3" ref="B29:B48">ROUND(1/(1+EXP(-$B$27*(A29+0.5))),3)</f>
        <v>0.679</v>
      </c>
      <c r="C29">
        <f>+B29-B28</f>
        <v>0.11699999999999999</v>
      </c>
      <c r="D29">
        <f aca="true" t="shared" si="4" ref="D29:D47">+(A29+0.5)*C29</f>
        <v>0.1755</v>
      </c>
    </row>
    <row r="30" spans="1:4" ht="12.75">
      <c r="A30">
        <v>2</v>
      </c>
      <c r="B30">
        <f t="shared" si="3"/>
        <v>0.777</v>
      </c>
      <c r="C30">
        <f aca="true" t="shared" si="5" ref="C30:C48">+B30-B29</f>
        <v>0.09799999999999998</v>
      </c>
      <c r="D30">
        <f t="shared" si="4"/>
        <v>0.24499999999999994</v>
      </c>
    </row>
    <row r="31" spans="1:4" ht="12.75">
      <c r="A31">
        <v>3</v>
      </c>
      <c r="B31">
        <f t="shared" si="3"/>
        <v>0.852</v>
      </c>
      <c r="C31">
        <f t="shared" si="5"/>
        <v>0.07499999999999996</v>
      </c>
      <c r="D31">
        <f t="shared" si="4"/>
        <v>0.26249999999999984</v>
      </c>
    </row>
    <row r="32" spans="1:4" ht="12.75">
      <c r="A32">
        <v>4</v>
      </c>
      <c r="B32">
        <f t="shared" si="3"/>
        <v>0.905</v>
      </c>
      <c r="C32">
        <f t="shared" si="5"/>
        <v>0.05300000000000005</v>
      </c>
      <c r="D32">
        <f t="shared" si="4"/>
        <v>0.2385000000000002</v>
      </c>
    </row>
    <row r="33" spans="1:4" ht="12.75">
      <c r="A33">
        <v>5</v>
      </c>
      <c r="B33">
        <f t="shared" si="3"/>
        <v>0.94</v>
      </c>
      <c r="C33">
        <f t="shared" si="5"/>
        <v>0.03499999999999992</v>
      </c>
      <c r="D33">
        <f t="shared" si="4"/>
        <v>0.19249999999999956</v>
      </c>
    </row>
    <row r="34" spans="1:4" ht="12.75">
      <c r="A34">
        <v>6</v>
      </c>
      <c r="B34">
        <f t="shared" si="3"/>
        <v>0.963</v>
      </c>
      <c r="C34">
        <f t="shared" si="5"/>
        <v>0.02300000000000002</v>
      </c>
      <c r="D34">
        <f t="shared" si="4"/>
        <v>0.14950000000000013</v>
      </c>
    </row>
    <row r="35" spans="1:4" ht="12.75">
      <c r="A35">
        <v>7</v>
      </c>
      <c r="B35">
        <f t="shared" si="3"/>
        <v>0.977</v>
      </c>
      <c r="C35">
        <f t="shared" si="5"/>
        <v>0.014000000000000012</v>
      </c>
      <c r="D35">
        <f t="shared" si="4"/>
        <v>0.1050000000000001</v>
      </c>
    </row>
    <row r="36" spans="1:4" ht="12.75">
      <c r="A36">
        <v>8</v>
      </c>
      <c r="B36">
        <f t="shared" si="3"/>
        <v>0.986</v>
      </c>
      <c r="C36">
        <f t="shared" si="5"/>
        <v>0.009000000000000008</v>
      </c>
      <c r="D36">
        <f t="shared" si="4"/>
        <v>0.07650000000000007</v>
      </c>
    </row>
    <row r="37" spans="1:4" ht="12.75">
      <c r="A37">
        <v>9</v>
      </c>
      <c r="B37">
        <f t="shared" si="3"/>
        <v>0.991</v>
      </c>
      <c r="C37">
        <f t="shared" si="5"/>
        <v>0.0050000000000000044</v>
      </c>
      <c r="D37">
        <f t="shared" si="4"/>
        <v>0.04750000000000004</v>
      </c>
    </row>
    <row r="38" spans="1:4" ht="12.75">
      <c r="A38">
        <v>10</v>
      </c>
      <c r="B38">
        <f t="shared" si="3"/>
        <v>0.995</v>
      </c>
      <c r="C38">
        <f t="shared" si="5"/>
        <v>0.0040000000000000036</v>
      </c>
      <c r="D38">
        <f t="shared" si="4"/>
        <v>0.04200000000000004</v>
      </c>
    </row>
    <row r="39" spans="1:4" ht="12.75">
      <c r="A39">
        <v>11</v>
      </c>
      <c r="B39">
        <f t="shared" si="3"/>
        <v>0.997</v>
      </c>
      <c r="C39">
        <f t="shared" si="5"/>
        <v>0.0020000000000000018</v>
      </c>
      <c r="D39">
        <f t="shared" si="4"/>
        <v>0.02300000000000002</v>
      </c>
    </row>
    <row r="40" spans="1:4" ht="12.75">
      <c r="A40">
        <v>12</v>
      </c>
      <c r="B40">
        <f t="shared" si="3"/>
        <v>0.998</v>
      </c>
      <c r="C40">
        <f t="shared" si="5"/>
        <v>0.0010000000000000009</v>
      </c>
      <c r="D40">
        <f t="shared" si="4"/>
        <v>0.012500000000000011</v>
      </c>
    </row>
    <row r="41" spans="1:4" ht="12.75">
      <c r="A41">
        <v>13</v>
      </c>
      <c r="B41">
        <f t="shared" si="3"/>
        <v>0.999</v>
      </c>
      <c r="C41">
        <f t="shared" si="5"/>
        <v>0.0010000000000000009</v>
      </c>
      <c r="D41">
        <f t="shared" si="4"/>
        <v>0.013500000000000012</v>
      </c>
    </row>
    <row r="42" spans="1:4" ht="12.75">
      <c r="A42">
        <v>14</v>
      </c>
      <c r="B42">
        <f t="shared" si="3"/>
        <v>0.999</v>
      </c>
      <c r="C42">
        <f t="shared" si="5"/>
        <v>0</v>
      </c>
      <c r="D42">
        <f t="shared" si="4"/>
        <v>0</v>
      </c>
    </row>
    <row r="43" spans="1:4" ht="12.75">
      <c r="A43">
        <v>15</v>
      </c>
      <c r="B43">
        <f t="shared" si="3"/>
        <v>1</v>
      </c>
      <c r="C43">
        <f t="shared" si="5"/>
        <v>0.0010000000000000009</v>
      </c>
      <c r="D43">
        <f t="shared" si="4"/>
        <v>0.015500000000000014</v>
      </c>
    </row>
    <row r="44" spans="1:4" ht="12.75">
      <c r="A44">
        <v>16</v>
      </c>
      <c r="B44">
        <f t="shared" si="3"/>
        <v>1</v>
      </c>
      <c r="C44">
        <f t="shared" si="5"/>
        <v>0</v>
      </c>
      <c r="D44">
        <f t="shared" si="4"/>
        <v>0</v>
      </c>
    </row>
    <row r="45" spans="1:4" ht="12.75">
      <c r="A45">
        <v>17</v>
      </c>
      <c r="B45">
        <f t="shared" si="3"/>
        <v>1</v>
      </c>
      <c r="C45">
        <f t="shared" si="5"/>
        <v>0</v>
      </c>
      <c r="D45">
        <f t="shared" si="4"/>
        <v>0</v>
      </c>
    </row>
    <row r="46" spans="1:4" ht="12.75">
      <c r="A46">
        <v>18</v>
      </c>
      <c r="B46">
        <f t="shared" si="3"/>
        <v>1</v>
      </c>
      <c r="C46">
        <f t="shared" si="5"/>
        <v>0</v>
      </c>
      <c r="D46">
        <f t="shared" si="4"/>
        <v>0</v>
      </c>
    </row>
    <row r="47" spans="1:4" ht="12.75">
      <c r="A47">
        <v>19</v>
      </c>
      <c r="B47">
        <f t="shared" si="3"/>
        <v>1</v>
      </c>
      <c r="C47">
        <f t="shared" si="5"/>
        <v>0</v>
      </c>
      <c r="D47">
        <f t="shared" si="4"/>
        <v>0</v>
      </c>
    </row>
    <row r="48" spans="1:4" ht="12.75">
      <c r="A48">
        <v>20</v>
      </c>
      <c r="B48">
        <f t="shared" si="3"/>
        <v>1</v>
      </c>
      <c r="C48">
        <f t="shared" si="5"/>
        <v>0</v>
      </c>
      <c r="D48">
        <f>+(A48+0.5)*C48</f>
        <v>0</v>
      </c>
    </row>
    <row r="49" ht="12.75">
      <c r="D49">
        <f>SUM(D28:D48)</f>
        <v>1.88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49"/>
  <sheetViews>
    <sheetView zoomScalePageLayoutView="0" workbookViewId="0" topLeftCell="A7">
      <selection activeCell="A27" sqref="A27"/>
    </sheetView>
  </sheetViews>
  <sheetFormatPr defaultColWidth="9.140625" defaultRowHeight="12.75"/>
  <cols>
    <col min="1" max="1" width="13.7109375" style="0" bestFit="1" customWidth="1"/>
  </cols>
  <sheetData>
    <row r="3" spans="1:2" ht="18">
      <c r="A3" s="1" t="s">
        <v>7</v>
      </c>
      <c r="B3" s="1">
        <f>+'P &amp; L'!C15</f>
        <v>2</v>
      </c>
    </row>
    <row r="4" spans="1:4" ht="12.75">
      <c r="A4">
        <v>0</v>
      </c>
      <c r="B4">
        <f>ROUND(1-EXP(-$B$3*A4),3)</f>
        <v>0</v>
      </c>
      <c r="C4">
        <f>+B4</f>
        <v>0</v>
      </c>
      <c r="D4">
        <f aca="true" t="shared" si="0" ref="D4:D24">+(A4+0.5)*C4</f>
        <v>0</v>
      </c>
    </row>
    <row r="5" spans="1:4" ht="12.75">
      <c r="A5">
        <v>1</v>
      </c>
      <c r="B5">
        <f aca="true" t="shared" si="1" ref="B5:B24">ROUND(1-EXP(-$B$3*A5),3)</f>
        <v>0.865</v>
      </c>
      <c r="C5">
        <f aca="true" t="shared" si="2" ref="C5:C24">+B5-B4</f>
        <v>0.865</v>
      </c>
      <c r="D5">
        <f t="shared" si="0"/>
        <v>1.2974999999999999</v>
      </c>
    </row>
    <row r="6" spans="1:4" ht="12.75">
      <c r="A6">
        <v>2</v>
      </c>
      <c r="B6">
        <f t="shared" si="1"/>
        <v>0.982</v>
      </c>
      <c r="C6">
        <f t="shared" si="2"/>
        <v>0.11699999999999999</v>
      </c>
      <c r="D6">
        <f t="shared" si="0"/>
        <v>0.2925</v>
      </c>
    </row>
    <row r="7" spans="1:4" ht="12.75">
      <c r="A7">
        <v>3</v>
      </c>
      <c r="B7">
        <f t="shared" si="1"/>
        <v>0.998</v>
      </c>
      <c r="C7">
        <f t="shared" si="2"/>
        <v>0.016000000000000014</v>
      </c>
      <c r="D7">
        <f t="shared" si="0"/>
        <v>0.05600000000000005</v>
      </c>
    </row>
    <row r="8" spans="1:4" ht="12.75">
      <c r="A8">
        <v>4</v>
      </c>
      <c r="B8">
        <f t="shared" si="1"/>
        <v>1</v>
      </c>
      <c r="C8">
        <f t="shared" si="2"/>
        <v>0.0020000000000000018</v>
      </c>
      <c r="D8">
        <f t="shared" si="0"/>
        <v>0.009000000000000008</v>
      </c>
    </row>
    <row r="9" spans="1:4" ht="12.75">
      <c r="A9">
        <v>5</v>
      </c>
      <c r="B9">
        <f t="shared" si="1"/>
        <v>1</v>
      </c>
      <c r="C9">
        <f t="shared" si="2"/>
        <v>0</v>
      </c>
      <c r="D9">
        <f t="shared" si="0"/>
        <v>0</v>
      </c>
    </row>
    <row r="10" spans="1:4" ht="12.75">
      <c r="A10">
        <v>6</v>
      </c>
      <c r="B10">
        <f t="shared" si="1"/>
        <v>1</v>
      </c>
      <c r="C10">
        <f t="shared" si="2"/>
        <v>0</v>
      </c>
      <c r="D10">
        <f t="shared" si="0"/>
        <v>0</v>
      </c>
    </row>
    <row r="11" spans="1:4" ht="12.75">
      <c r="A11">
        <v>7</v>
      </c>
      <c r="B11">
        <f t="shared" si="1"/>
        <v>1</v>
      </c>
      <c r="C11">
        <f t="shared" si="2"/>
        <v>0</v>
      </c>
      <c r="D11">
        <f t="shared" si="0"/>
        <v>0</v>
      </c>
    </row>
    <row r="12" spans="1:4" ht="12.75">
      <c r="A12">
        <v>8</v>
      </c>
      <c r="B12">
        <f t="shared" si="1"/>
        <v>1</v>
      </c>
      <c r="C12">
        <f t="shared" si="2"/>
        <v>0</v>
      </c>
      <c r="D12">
        <f t="shared" si="0"/>
        <v>0</v>
      </c>
    </row>
    <row r="13" spans="1:4" ht="12.75">
      <c r="A13">
        <v>9</v>
      </c>
      <c r="B13">
        <f t="shared" si="1"/>
        <v>1</v>
      </c>
      <c r="C13">
        <f t="shared" si="2"/>
        <v>0</v>
      </c>
      <c r="D13">
        <f t="shared" si="0"/>
        <v>0</v>
      </c>
    </row>
    <row r="14" spans="1:4" ht="12.75">
      <c r="A14">
        <v>10</v>
      </c>
      <c r="B14">
        <f t="shared" si="1"/>
        <v>1</v>
      </c>
      <c r="C14">
        <f t="shared" si="2"/>
        <v>0</v>
      </c>
      <c r="D14">
        <f t="shared" si="0"/>
        <v>0</v>
      </c>
    </row>
    <row r="15" spans="1:4" ht="12.75">
      <c r="A15">
        <v>11</v>
      </c>
      <c r="B15">
        <f t="shared" si="1"/>
        <v>1</v>
      </c>
      <c r="C15">
        <f t="shared" si="2"/>
        <v>0</v>
      </c>
      <c r="D15">
        <f t="shared" si="0"/>
        <v>0</v>
      </c>
    </row>
    <row r="16" spans="1:4" ht="12.75">
      <c r="A16">
        <v>12</v>
      </c>
      <c r="B16">
        <f t="shared" si="1"/>
        <v>1</v>
      </c>
      <c r="C16">
        <f t="shared" si="2"/>
        <v>0</v>
      </c>
      <c r="D16">
        <f t="shared" si="0"/>
        <v>0</v>
      </c>
    </row>
    <row r="17" spans="1:4" ht="12.75">
      <c r="A17">
        <v>13</v>
      </c>
      <c r="B17">
        <f t="shared" si="1"/>
        <v>1</v>
      </c>
      <c r="C17">
        <f t="shared" si="2"/>
        <v>0</v>
      </c>
      <c r="D17">
        <f t="shared" si="0"/>
        <v>0</v>
      </c>
    </row>
    <row r="18" spans="1:4" ht="12.75">
      <c r="A18">
        <v>14</v>
      </c>
      <c r="B18">
        <f t="shared" si="1"/>
        <v>1</v>
      </c>
      <c r="C18">
        <f t="shared" si="2"/>
        <v>0</v>
      </c>
      <c r="D18">
        <f t="shared" si="0"/>
        <v>0</v>
      </c>
    </row>
    <row r="19" spans="1:4" ht="12.75">
      <c r="A19">
        <v>15</v>
      </c>
      <c r="B19">
        <f t="shared" si="1"/>
        <v>1</v>
      </c>
      <c r="C19">
        <f t="shared" si="2"/>
        <v>0</v>
      </c>
      <c r="D19">
        <f t="shared" si="0"/>
        <v>0</v>
      </c>
    </row>
    <row r="20" spans="1:4" ht="12.75">
      <c r="A20">
        <v>16</v>
      </c>
      <c r="B20">
        <f t="shared" si="1"/>
        <v>1</v>
      </c>
      <c r="C20">
        <f t="shared" si="2"/>
        <v>0</v>
      </c>
      <c r="D20">
        <f t="shared" si="0"/>
        <v>0</v>
      </c>
    </row>
    <row r="21" spans="1:4" ht="12.75">
      <c r="A21">
        <v>17</v>
      </c>
      <c r="B21">
        <f t="shared" si="1"/>
        <v>1</v>
      </c>
      <c r="C21">
        <f t="shared" si="2"/>
        <v>0</v>
      </c>
      <c r="D21">
        <f t="shared" si="0"/>
        <v>0</v>
      </c>
    </row>
    <row r="22" spans="1:4" ht="12.75">
      <c r="A22">
        <v>18</v>
      </c>
      <c r="B22">
        <f t="shared" si="1"/>
        <v>1</v>
      </c>
      <c r="C22">
        <f t="shared" si="2"/>
        <v>0</v>
      </c>
      <c r="D22">
        <f t="shared" si="0"/>
        <v>0</v>
      </c>
    </row>
    <row r="23" spans="1:4" ht="12.75">
      <c r="A23">
        <v>19</v>
      </c>
      <c r="B23">
        <f t="shared" si="1"/>
        <v>1</v>
      </c>
      <c r="C23">
        <f t="shared" si="2"/>
        <v>0</v>
      </c>
      <c r="D23">
        <f t="shared" si="0"/>
        <v>0</v>
      </c>
    </row>
    <row r="24" spans="1:4" ht="12.75">
      <c r="A24">
        <v>20</v>
      </c>
      <c r="B24">
        <f t="shared" si="1"/>
        <v>1</v>
      </c>
      <c r="C24">
        <f t="shared" si="2"/>
        <v>0</v>
      </c>
      <c r="D24">
        <f t="shared" si="0"/>
        <v>0</v>
      </c>
    </row>
    <row r="25" ht="12.75">
      <c r="D25">
        <f>SUM(D4:D24)</f>
        <v>1.6549999999999998</v>
      </c>
    </row>
    <row r="27" spans="1:2" ht="18">
      <c r="A27" s="1" t="s">
        <v>7</v>
      </c>
      <c r="B27" s="1">
        <f>+'P &amp; L'!C19</f>
        <v>0.5</v>
      </c>
    </row>
    <row r="28" spans="1:4" ht="12.75">
      <c r="A28">
        <v>0</v>
      </c>
      <c r="B28">
        <f>ROUND(1-EXP(-$B$27*A4),3)</f>
        <v>0</v>
      </c>
      <c r="C28">
        <f>+B28</f>
        <v>0</v>
      </c>
      <c r="D28">
        <f aca="true" t="shared" si="3" ref="D28:D48">+(A28+0.5)*C28</f>
        <v>0</v>
      </c>
    </row>
    <row r="29" spans="1:4" ht="12.75">
      <c r="A29">
        <v>1</v>
      </c>
      <c r="B29">
        <f aca="true" t="shared" si="4" ref="B29:B48">ROUND(1-EXP(-$B$27*A5),3)</f>
        <v>0.393</v>
      </c>
      <c r="C29">
        <f aca="true" t="shared" si="5" ref="C29:C48">+B29-B28</f>
        <v>0.393</v>
      </c>
      <c r="D29">
        <f t="shared" si="3"/>
        <v>0.5895</v>
      </c>
    </row>
    <row r="30" spans="1:4" ht="12.75">
      <c r="A30">
        <v>2</v>
      </c>
      <c r="B30">
        <f t="shared" si="4"/>
        <v>0.632</v>
      </c>
      <c r="C30">
        <f t="shared" si="5"/>
        <v>0.239</v>
      </c>
      <c r="D30">
        <f t="shared" si="3"/>
        <v>0.5974999999999999</v>
      </c>
    </row>
    <row r="31" spans="1:4" ht="12.75">
      <c r="A31">
        <v>3</v>
      </c>
      <c r="B31">
        <f t="shared" si="4"/>
        <v>0.777</v>
      </c>
      <c r="C31">
        <f t="shared" si="5"/>
        <v>0.14500000000000002</v>
      </c>
      <c r="D31">
        <f t="shared" si="3"/>
        <v>0.5075000000000001</v>
      </c>
    </row>
    <row r="32" spans="1:4" ht="12.75">
      <c r="A32">
        <v>4</v>
      </c>
      <c r="B32">
        <f t="shared" si="4"/>
        <v>0.865</v>
      </c>
      <c r="C32">
        <f t="shared" si="5"/>
        <v>0.08799999999999997</v>
      </c>
      <c r="D32">
        <f t="shared" si="3"/>
        <v>0.39599999999999985</v>
      </c>
    </row>
    <row r="33" spans="1:4" ht="12.75">
      <c r="A33">
        <v>5</v>
      </c>
      <c r="B33">
        <f t="shared" si="4"/>
        <v>0.918</v>
      </c>
      <c r="C33">
        <f t="shared" si="5"/>
        <v>0.05300000000000005</v>
      </c>
      <c r="D33">
        <f t="shared" si="3"/>
        <v>0.29150000000000026</v>
      </c>
    </row>
    <row r="34" spans="1:4" ht="12.75">
      <c r="A34">
        <v>6</v>
      </c>
      <c r="B34">
        <f t="shared" si="4"/>
        <v>0.95</v>
      </c>
      <c r="C34">
        <f t="shared" si="5"/>
        <v>0.03199999999999992</v>
      </c>
      <c r="D34">
        <f t="shared" si="3"/>
        <v>0.20799999999999946</v>
      </c>
    </row>
    <row r="35" spans="1:4" ht="12.75">
      <c r="A35">
        <v>7</v>
      </c>
      <c r="B35">
        <f t="shared" si="4"/>
        <v>0.97</v>
      </c>
      <c r="C35">
        <f t="shared" si="5"/>
        <v>0.020000000000000018</v>
      </c>
      <c r="D35">
        <f t="shared" si="3"/>
        <v>0.15000000000000013</v>
      </c>
    </row>
    <row r="36" spans="1:4" ht="12.75">
      <c r="A36">
        <v>8</v>
      </c>
      <c r="B36">
        <f t="shared" si="4"/>
        <v>0.982</v>
      </c>
      <c r="C36">
        <f t="shared" si="5"/>
        <v>0.01200000000000001</v>
      </c>
      <c r="D36">
        <f t="shared" si="3"/>
        <v>0.10200000000000009</v>
      </c>
    </row>
    <row r="37" spans="1:4" ht="12.75">
      <c r="A37">
        <v>9</v>
      </c>
      <c r="B37">
        <f t="shared" si="4"/>
        <v>0.989</v>
      </c>
      <c r="C37">
        <f t="shared" si="5"/>
        <v>0.007000000000000006</v>
      </c>
      <c r="D37">
        <f t="shared" si="3"/>
        <v>0.06650000000000006</v>
      </c>
    </row>
    <row r="38" spans="1:4" ht="12.75">
      <c r="A38">
        <v>10</v>
      </c>
      <c r="B38">
        <f t="shared" si="4"/>
        <v>0.993</v>
      </c>
      <c r="C38">
        <f t="shared" si="5"/>
        <v>0.0040000000000000036</v>
      </c>
      <c r="D38">
        <f t="shared" si="3"/>
        <v>0.04200000000000004</v>
      </c>
    </row>
    <row r="39" spans="1:4" ht="12.75">
      <c r="A39">
        <v>11</v>
      </c>
      <c r="B39">
        <f t="shared" si="4"/>
        <v>0.996</v>
      </c>
      <c r="C39">
        <f t="shared" si="5"/>
        <v>0.0030000000000000027</v>
      </c>
      <c r="D39">
        <f t="shared" si="3"/>
        <v>0.03450000000000003</v>
      </c>
    </row>
    <row r="40" spans="1:4" ht="12.75">
      <c r="A40">
        <v>12</v>
      </c>
      <c r="B40">
        <f t="shared" si="4"/>
        <v>0.998</v>
      </c>
      <c r="C40">
        <f t="shared" si="5"/>
        <v>0.0020000000000000018</v>
      </c>
      <c r="D40">
        <f t="shared" si="3"/>
        <v>0.025000000000000022</v>
      </c>
    </row>
    <row r="41" spans="1:4" ht="12.75">
      <c r="A41">
        <v>13</v>
      </c>
      <c r="B41">
        <f t="shared" si="4"/>
        <v>0.998</v>
      </c>
      <c r="C41">
        <f t="shared" si="5"/>
        <v>0</v>
      </c>
      <c r="D41">
        <f t="shared" si="3"/>
        <v>0</v>
      </c>
    </row>
    <row r="42" spans="1:4" ht="12.75">
      <c r="A42">
        <v>14</v>
      </c>
      <c r="B42">
        <f t="shared" si="4"/>
        <v>0.999</v>
      </c>
      <c r="C42">
        <f t="shared" si="5"/>
        <v>0.0010000000000000009</v>
      </c>
      <c r="D42">
        <f t="shared" si="3"/>
        <v>0.014500000000000013</v>
      </c>
    </row>
    <row r="43" spans="1:4" ht="12.75">
      <c r="A43">
        <v>15</v>
      </c>
      <c r="B43">
        <f t="shared" si="4"/>
        <v>0.999</v>
      </c>
      <c r="C43">
        <f t="shared" si="5"/>
        <v>0</v>
      </c>
      <c r="D43">
        <f t="shared" si="3"/>
        <v>0</v>
      </c>
    </row>
    <row r="44" spans="1:4" ht="12.75">
      <c r="A44">
        <v>16</v>
      </c>
      <c r="B44">
        <f t="shared" si="4"/>
        <v>1</v>
      </c>
      <c r="C44">
        <f t="shared" si="5"/>
        <v>0.0010000000000000009</v>
      </c>
      <c r="D44">
        <f t="shared" si="3"/>
        <v>0.016500000000000015</v>
      </c>
    </row>
    <row r="45" spans="1:4" ht="12.75">
      <c r="A45">
        <v>17</v>
      </c>
      <c r="B45">
        <f t="shared" si="4"/>
        <v>1</v>
      </c>
      <c r="C45">
        <f t="shared" si="5"/>
        <v>0</v>
      </c>
      <c r="D45">
        <f t="shared" si="3"/>
        <v>0</v>
      </c>
    </row>
    <row r="46" spans="1:4" ht="12.75">
      <c r="A46">
        <v>18</v>
      </c>
      <c r="B46">
        <f t="shared" si="4"/>
        <v>1</v>
      </c>
      <c r="C46">
        <f t="shared" si="5"/>
        <v>0</v>
      </c>
      <c r="D46">
        <f t="shared" si="3"/>
        <v>0</v>
      </c>
    </row>
    <row r="47" spans="1:4" ht="12.75">
      <c r="A47">
        <v>19</v>
      </c>
      <c r="B47">
        <f t="shared" si="4"/>
        <v>1</v>
      </c>
      <c r="C47">
        <f t="shared" si="5"/>
        <v>0</v>
      </c>
      <c r="D47">
        <f t="shared" si="3"/>
        <v>0</v>
      </c>
    </row>
    <row r="48" spans="1:4" ht="12.75">
      <c r="A48">
        <v>20</v>
      </c>
      <c r="B48">
        <f t="shared" si="4"/>
        <v>1</v>
      </c>
      <c r="C48">
        <f t="shared" si="5"/>
        <v>0</v>
      </c>
      <c r="D48">
        <f t="shared" si="3"/>
        <v>0</v>
      </c>
    </row>
    <row r="49" ht="12.75">
      <c r="D49">
        <f>SUM(D28:D48)</f>
        <v>3.041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ACLog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 Lipovec</dc:creator>
  <cp:keywords/>
  <dc:description/>
  <cp:lastModifiedBy>Jelena Kocovic</cp:lastModifiedBy>
  <dcterms:created xsi:type="dcterms:W3CDTF">2009-08-31T16:18:48Z</dcterms:created>
  <dcterms:modified xsi:type="dcterms:W3CDTF">2011-12-09T08:52:29Z</dcterms:modified>
  <cp:category/>
  <cp:version/>
  <cp:contentType/>
  <cp:contentStatus/>
</cp:coreProperties>
</file>